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620" firstSheet="1" activeTab="3"/>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<sst xmlns="http://schemas.openxmlformats.org/spreadsheetml/2006/main" count="3790" uniqueCount="2998">
  <si>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</si>
  <si>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</si>
  <si>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</si>
  <si>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</si>
  <si>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</si>
  <si>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</si>
  <si>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</si>
  <si>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</si>
  <si>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</si>
  <si>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</si>
  <si>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</si>
  <si>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</si>
  <si>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</si>
  <si>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</si>
  <si>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</si>
  <si>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</si>
  <si>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</si>
  <si>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</si>
  <si>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</si>
  <si>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</si>
  <si>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</si>
  <si>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</si>
  <si>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</si>
  <si>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</si>
  <si>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</si>
  <si>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</si>
  <si>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</si>
  <si>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</si>
  <si>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</si>
  <si>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</si>
  <si>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</si>
  <si>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</si>
  <si>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</si>
  <si>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</si>
  <si>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</si>
  <si>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</si>
  <si>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</si>
  <si>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</si>
  <si>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</si>
  <si>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</si>
  <si>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</si>
  <si>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</si>
  <si>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</si>
  <si>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</si>
  <si>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</si>
  <si>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</si>
  <si>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</si>
  <si>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</si>
  <si>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</si>
  <si>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</si>
  <si>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</si>
  <si>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</si>
  <si>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</si>
  <si>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</si>
  <si>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</si>
  <si>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</si>
  <si>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</si>
  <si>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</si>
  <si>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</si>
  <si>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</si>
  <si>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</si>
  <si>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</si>
  <si>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</si>
  <si>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</si>
  <si>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</si>
  <si>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</si>
  <si>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</si>
  <si>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</si>
  <si>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</si>
  <si>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</si>
  <si>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</si>
  <si>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</si>
  <si>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</si>
  <si>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</si>
  <si>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</si>
  <si>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</si>
  <si>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</si>
  <si>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</si>
  <si>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</si>
  <si>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</si>
  <si>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</si>
  <si>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</si>
  <si>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</si>
  <si>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</si>
  <si>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</si>
  <si>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</si>
  <si>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</si>
  <si>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</si>
  <si>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</si>
  <si>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</si>
  <si>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</si>
  <si>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</si>
  <si>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</si>
  <si>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</si>
  <si>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</si>
  <si>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</si>
  <si>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</si>
  <si>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</si>
  <si>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</si>
  <si>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</si>
  <si>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</si>
  <si>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</si>
  <si>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</si>
  <si>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</si>
  <si>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</si>
  <si>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</si>
  <si>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</si>
  <si>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</si>
  <si>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</si>
  <si>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</si>
  <si>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</si>
  <si>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</si>
  <si>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</si>
  <si>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</si>
  <si>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</si>
  <si>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</si>
  <si>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</si>
  <si>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</si>
  <si>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</si>
  <si>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</si>
  <si>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</si>
  <si>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</si>
  <si>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</si>
  <si>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</si>
  <si>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</si>
  <si>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</si>
  <si>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</si>
  <si>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</si>
  <si>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</si>
  <si>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</si>
  <si>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</si>
  <si>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</si>
  <si>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</si>
  <si>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</si>
  <si>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</si>
  <si>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</si>
  <si>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</si>
  <si>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</si>
  <si>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</si>
  <si>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</si>
  <si>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</si>
  <si>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</si>
  <si>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</si>
  <si>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</si>
  <si>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</si>
  <si>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</si>
  <si>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</si>
  <si>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</si>
  <si>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</si>
  <si>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</si>
  <si>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</si>
  <si>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</si>
  <si>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</si>
  <si>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</si>
  <si>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</si>
  <si>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</si>
  <si>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</si>
  <si>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</si>
  <si>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</si>
  <si>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</si>
  <si>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</si>
  <si>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</si>
  <si>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</si>
  <si>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</si>
  <si>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</si>
  <si>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</si>
  <si>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</si>
  <si>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</si>
  <si>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</si>
  <si>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</si>
  <si>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</si>
  <si>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</si>
  <si>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</si>
  <si>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</si>
  <si>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</si>
  <si>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</si>
  <si>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</si>
  <si>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</si>
  <si>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</si>
  <si>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</si>
  <si>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</si>
  <si>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</si>
  <si>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</si>
  <si>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</si>
  <si>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</si>
  <si>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</si>
  <si>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</si>
  <si>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</si>
  <si>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</si>
  <si>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</si>
  <si>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</si>
  <si>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</si>
  <si>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</si>
  <si>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</si>
  <si>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</si>
  <si>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</si>
  <si>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</si>
  <si>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</si>
  <si>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</si>
  <si>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</si>
  <si>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</si>
  <si>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</si>
  <si>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</si>
  <si>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</si>
  <si>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</si>
  <si>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</si>
  <si>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</si>
  <si>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</si>
  <si>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</si>
  <si>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</si>
  <si>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</si>
  <si>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</si>
  <si>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</si>
  <si>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</si>
  <si>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</si>
  <si>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</si>
  <si>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</si>
  <si>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</si>
  <si>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</si>
  <si>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</si>
  <si>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</si>
  <si>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</si>
  <si>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</si>
  <si>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</si>
  <si>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</si>
  <si>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</si>
  <si>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</si>
  <si>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</si>
  <si>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</si>
  <si>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</si>
  <si>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</si>
  <si>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</si>
  <si>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</si>
  <si>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</si>
  <si>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</si>
  <si>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</si>
  <si>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</si>
  <si>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</si>
  <si>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</si>
  <si>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</si>
  <si>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</si>
  <si>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</si>
  <si>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</si>
  <si>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</si>
  <si>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</si>
  <si>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</si>
  <si>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</si>
  <si>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</si>
  <si>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</si>
  <si>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</si>
  <si>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</si>
  <si>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</si>
  <si>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</si>
  <si>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</si>
  <si>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</si>
  <si>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</si>
  <si>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</si>
  <si>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</si>
  <si>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</si>
  <si>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</si>
  <si>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</si>
  <si>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</si>
  <si>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</si>
  <si>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</si>
  <si>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</si>
  <si>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</si>
  <si>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</si>
  <si>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</si>
  <si>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</si>
  <si>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</si>
  <si>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</si>
  <si>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</si>
  <si>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</si>
  <si>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</si>
  <si>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</si>
  <si>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</si>
  <si>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</si>
  <si>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</si>
  <si>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</si>
  <si>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</si>
  <si>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</si>
  <si>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</si>
  <si>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</si>
  <si>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</si>
  <si>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</si>
  <si>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</si>
  <si>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</si>
  <si>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</si>
  <si>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</si>
  <si>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</si>
  <si>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</si>
  <si>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</si>
  <si>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</si>
  <si>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</si>
  <si>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</si>
  <si>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</si>
  <si>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</si>
  <si>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</si>
  <si>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</si>
  <si>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</si>
  <si>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</si>
  <si>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</si>
  <si>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</si>
  <si>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</si>
  <si>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</si>
  <si>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</si>
  <si>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</si>
  <si>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</si>
  <si>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</si>
  <si>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</si>
  <si>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</si>
  <si>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</si>
  <si>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</si>
  <si>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</si>
  <si>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</si>
  <si>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</si>
  <si>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</si>
  <si>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</si>
  <si>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</si>
  <si>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</si>
  <si>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</si>
  <si>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</si>
  <si>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</si>
  <si>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</si>
  <si>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</si>
  <si>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</si>
  <si>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</si>
  <si>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</si>
  <si>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</si>
  <si>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</si>
  <si>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</si>
  <si>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</si>
  <si>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</si>
  <si>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</si>
  <si>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</si>
  <si>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</si>
  <si>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</si>
  <si>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</si>
  <si>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</si>
  <si>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</si>
  <si>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</si>
  <si>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</si>
  <si>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</si>
  <si>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</si>
  <si>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</si>
  <si>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</si>
  <si>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</si>
  <si>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</si>
  <si>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</si>
  <si>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</si>
  <si>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</si>
  <si>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</si>
  <si>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</si>
  <si>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</si>
  <si>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</si>
  <si>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</si>
  <si>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</si>
  <si>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</si>
  <si>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</si>
  <si>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</si>
  <si>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</si>
  <si>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</si>
  <si>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</si>
  <si>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</si>
  <si>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</si>
  <si>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</si>
  <si>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</si>
  <si>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</si>
  <si>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</si>
  <si>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</si>
  <si>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</si>
  <si>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</si>
  <si>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</si>
  <si>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</si>
  <si>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</si>
  <si>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</si>
  <si>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</si>
  <si>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</si>
  <si>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</si>
  <si>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</si>
  <si>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</si>
  <si>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</si>
  <si>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</si>
  <si>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</si>
  <si>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</si>
  <si>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</si>
  <si>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</si>
  <si>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</si>
  <si>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</si>
  <si>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</si>
  <si>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</si>
  <si>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</si>
  <si>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</si>
  <si>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</si>
  <si>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</si>
  <si>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</si>
  <si>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</si>
  <si>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</si>
  <si>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</si>
  <si>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</si>
  <si>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</si>
  <si>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</si>
  <si>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</si>
  <si>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</si>
  <si>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</si>
  <si>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</si>
  <si>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</si>
  <si>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</si>
  <si>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</si>
  <si>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</si>
  <si>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</si>
  <si>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</si>
  <si>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</si>
  <si>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</si>
  <si>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</si>
  <si>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</si>
  <si>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</si>
  <si>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</si>
  <si>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</si>
  <si>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</si>
  <si>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</si>
  <si>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</si>
  <si>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</si>
  <si>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</si>
  <si>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</si>
  <si>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</si>
  <si>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</si>
  <si>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</si>
  <si>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</si>
  <si>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</si>
  <si>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</si>
  <si>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</si>
  <si>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</si>
  <si>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</si>
  <si>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</si>
  <si>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</si>
  <si>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</si>
  <si>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</si>
  <si>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</si>
  <si>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</si>
  <si>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</si>
  <si>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</si>
  <si>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</si>
  <si>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</si>
  <si>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</si>
  <si>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</si>
  <si>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</si>
  <si>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</si>
  <si>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</si>
  <si>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</si>
  <si>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</si>
  <si>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</si>
  <si>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</si>
  <si>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</si>
  <si>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</si>
  <si>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</si>
  <si>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</si>
  <si>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</si>
  <si>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</si>
  <si>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</si>
  <si>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</si>
  <si>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</si>
  <si>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</si>
  <si>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</si>
  <si>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</si>
  <si>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</si>
  <si>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</si>
  <si>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</si>
  <si>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</si>
  <si>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</si>
  <si>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</si>
  <si>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</si>
  <si>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</si>
  <si>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</si>
  <si>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</si>
  <si>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</si>
  <si>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</si>
  <si>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</si>
  <si>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</si>
  <si>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</si>
  <si>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</si>
  <si>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</si>
  <si>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</si>
  <si>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</si>
  <si>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</si>
  <si>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</si>
  <si>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</si>
  <si>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</si>
  <si>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</si>
  <si>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</si>
  <si>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</si>
  <si>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</si>
  <si>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</si>
  <si>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</si>
  <si>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</si>
  <si>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</si>
  <si>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</si>
  <si>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</si>
  <si>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</si>
  <si>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</si>
  <si>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</si>
  <si>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</si>
  <si>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</si>
  <si>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</si>
  <si>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</si>
  <si>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</si>
  <si>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</si>
  <si>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</si>
  <si>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</si>
  <si>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</si>
  <si>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</si>
  <si>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</si>
  <si>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</si>
  <si>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</si>
  <si>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</si>
  <si>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</si>
  <si>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</si>
  <si>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</si>
  <si>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</si>
  <si>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</si>
  <si>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</si>
  <si>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</si>
  <si>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</si>
  <si>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</si>
  <si>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</si>
  <si>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</si>
  <si>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</si>
  <si>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</si>
  <si>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</si>
  <si>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</si>
  <si>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</si>
  <si>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</si>
  <si>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</si>
  <si>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</si>
  <si>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</si>
  <si>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</si>
  <si>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</si>
  <si>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</si>
  <si>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</si>
  <si>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</si>
  <si>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</si>
  <si>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</si>
  <si>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</si>
  <si>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</si>
  <si>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</si>
  <si>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</si>
  <si>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</si>
  <si>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</si>
  <si>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</si>
  <si>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</si>
  <si>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</si>
  <si>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</si>
  <si>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</si>
  <si>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</si>
  <si>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</si>
  <si>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</si>
  <si>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</si>
  <si>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</si>
  <si>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</si>
  <si>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</si>
  <si>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</si>
  <si>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</si>
  <si>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</si>
  <si>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</si>
  <si>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</si>
  <si>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</si>
  <si>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</si>
  <si>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</si>
  <si>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</si>
  <si>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</si>
  <si>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</si>
  <si>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</si>
  <si>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</si>
  <si>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</si>
  <si>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</si>
  <si>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</si>
  <si>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</si>
  <si>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</si>
  <si>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</si>
  <si>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</si>
  <si>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</si>
  <si>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</si>
  <si>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</si>
  <si>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</si>
  <si>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</si>
  <si>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</si>
  <si>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</si>
  <si>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</si>
  <si>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</si>
  <si>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</si>
  <si>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</si>
  <si>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</si>
  <si>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</si>
  <si>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</si>
  <si>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</si>
  <si>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</si>
  <si>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</si>
  <si>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</si>
  <si>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</si>
  <si>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</si>
  <si>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</si>
  <si>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</si>
  <si>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</si>
  <si>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</si>
  <si>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</si>
  <si>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</si>
  <si>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</si>
  <si>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</si>
  <si>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</si>
  <si>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</si>
  <si>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</si>
  <si>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</si>
  <si>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</si>
  <si>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</si>
  <si>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</si>
  <si>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</si>
  <si>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</si>
  <si>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</si>
  <si>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</si>
  <si>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</si>
  <si>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</si>
  <si>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</si>
  <si>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</si>
  <si>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</si>
  <si>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</si>
  <si>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</si>
  <si>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</si>
  <si>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</si>
  <si>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</si>
  <si>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</si>
  <si>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</si>
  <si>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</si>
  <si>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</si>
  <si>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</si>
  <si>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</si>
  <si>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</si>
  <si>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</si>
  <si>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</si>
  <si>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</si>
  <si>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</si>
  <si>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</si>
  <si>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</si>
  <si>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</si>
  <si>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</si>
  <si>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</si>
  <si>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</si>
  <si>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</si>
  <si>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</si>
  <si>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</si>
  <si>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</si>
  <si>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</si>
  <si>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</si>
  <si>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</si>
  <si>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</si>
  <si>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</si>
  <si>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</si>
  <si>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</si>
  <si>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</si>
  <si>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</si>
  <si>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</si>
  <si>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</si>
  <si>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</si>
  <si>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</si>
  <si>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</si>
  <si>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</si>
  <si>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</si>
  <si>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</si>
  <si>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</si>
  <si>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</si>
  <si>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</si>
  <si>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</si>
  <si>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</si>
  <si>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</si>
  <si>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</si>
  <si>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</si>
  <si>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</si>
  <si>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</si>
  <si>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</si>
  <si>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</si>
  <si>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</si>
  <si>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</si>
  <si>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</si>
  <si>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</si>
  <si>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</si>
  <si>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</si>
  <si>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</si>
  <si>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</si>
  <si>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</si>
  <si>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</si>
  <si>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</si>
  <si>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</si>
  <si>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</si>
  <si>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</si>
  <si>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</si>
  <si>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</si>
  <si>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</si>
  <si>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</si>
  <si>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</si>
  <si>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</si>
  <si>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</si>
  <si>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</si>
  <si>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</si>
  <si>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</si>
  <si>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</si>
  <si>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</si>
  <si>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</si>
  <si>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</si>
  <si>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</si>
  <si>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</si>
  <si>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</si>
  <si>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</si>
  <si>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</si>
  <si>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</si>
  <si>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</si>
  <si>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</si>
  <si>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</si>
  <si>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</si>
  <si>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</si>
  <si>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</si>
  <si>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</si>
  <si>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</si>
  <si>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</si>
  <si>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</si>
  <si>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</si>
  <si>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</si>
  <si>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</si>
  <si>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</si>
  <si>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</si>
  <si>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</si>
  <si>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</si>
  <si>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</si>
  <si>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</si>
  <si>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</si>
  <si>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</si>
  <si>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</si>
  <si>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</si>
  <si>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</si>
  <si>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</si>
  <si>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</si>
  <si>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</si>
  <si>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</si>
  <si>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</si>
  <si>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</si>
  <si>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</si>
  <si>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</si>
  <si>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</si>
  <si>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</si>
  <si>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</si>
  <si>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</si>
  <si>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</si>
  <si>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</si>
  <si>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</si>
  <si>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</si>
  <si>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</si>
  <si>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</si>
  <si>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</si>
  <si>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</si>
  <si>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</si>
  <si>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</si>
  <si>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</si>
  <si>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</si>
  <si>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</si>
  <si>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</si>
  <si>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</si>
  <si>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</si>
  <si>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</si>
  <si>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</si>
  <si>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</si>
  <si>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</si>
  <si>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</si>
  <si>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</si>
  <si>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</si>
  <si>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</si>
  <si>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</si>
  <si>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</si>
  <si>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</si>
  <si>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</si>
  <si>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</si>
  <si>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</si>
  <si>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</si>
  <si>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</si>
  <si>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</si>
  <si>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</si>
  <si>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</si>
  <si>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</si>
  <si>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</si>
  <si>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</si>
  <si>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</si>
  <si>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</si>
  <si>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</si>
  <si>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</si>
  <si>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</si>
  <si>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</si>
  <si>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</si>
  <si>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</si>
  <si>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</si>
  <si>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</si>
  <si>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</si>
  <si>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</si>
  <si>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</si>
  <si>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</si>
  <si>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</si>
  <si>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</si>
  <si>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</si>
  <si>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</si>
  <si>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</si>
  <si>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</si>
  <si>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</si>
  <si>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</si>
  <si>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</si>
  <si>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</si>
  <si>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</si>
  <si>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</si>
  <si>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</si>
  <si>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</si>
  <si>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</si>
  <si>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</si>
  <si>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</si>
  <si>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</si>
  <si>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</si>
  <si>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</si>
  <si>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</si>
  <si>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</si>
  <si>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</si>
  <si>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</si>
  <si>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</si>
  <si>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</si>
  <si>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</si>
  <si>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</si>
  <si>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</si>
  <si>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</si>
  <si>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</si>
  <si>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</si>
  <si>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</si>
  <si>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</si>
  <si>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</si>
  <si>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</si>
  <si>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</si>
  <si>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</si>
  <si>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</si>
  <si>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</si>
  <si>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</si>
  <si>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</si>
  <si>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</si>
  <si>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</si>
  <si>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</si>
  <si>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</si>
  <si>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</si>
  <si>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</si>
  <si>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</si>
  <si>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</si>
  <si>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</si>
  <si>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</si>
  <si>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</si>
  <si>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</si>
  <si>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</si>
  <si>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</si>
  <si>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</si>
  <si>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</si>
  <si>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</si>
  <si>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</si>
  <si>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</si>
  <si>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</si>
  <si>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</si>
  <si>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</si>
  <si>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</si>
  <si>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</si>
  <si>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</si>
  <si>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</si>
  <si>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</si>
  <si>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</si>
  <si>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</si>
  <si>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</si>
  <si>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</si>
  <si>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</si>
  <si>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</si>
  <si>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</si>
  <si>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</si>
  <si>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</si>
  <si>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</si>
  <si>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</si>
  <si>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</si>
  <si>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</si>
  <si>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</si>
  <si>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</si>
  <si>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</si>
  <si>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</si>
  <si>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</si>
  <si>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</si>
  <si>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</si>
  <si>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</si>
  <si>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</si>
  <si>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</si>
  <si>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</si>
  <si>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</si>
  <si>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</si>
  <si>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</si>
  <si>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</si>
  <si>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</si>
  <si>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</si>
  <si>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</si>
  <si>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</si>
  <si>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</si>
  <si>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</si>
  <si>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</si>
  <si>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</si>
  <si>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</si>
  <si>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</si>
  <si>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</si>
  <si>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</si>
  <si>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</si>
  <si>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</si>
  <si>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</si>
  <si>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</si>
  <si>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</si>
  <si>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</si>
  <si>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</si>
  <si>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</si>
  <si>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</si>
  <si>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</si>
  <si>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</si>
  <si>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</si>
  <si>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</si>
  <si>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</si>
  <si>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</si>
  <si>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</si>
  <si>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</si>
  <si>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</si>
  <si>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</si>
  <si>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</si>
  <si>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</si>
  <si>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</si>
  <si>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</si>
  <si>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</si>
  <si>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</si>
  <si>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</si>
  <si>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</si>
  <si>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</si>
  <si>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</si>
  <si>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</si>
  <si>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</si>
  <si>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</si>
  <si>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</si>
  <si>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</si>
  <si>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</si>
  <si>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</si>
  <si>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</si>
  <si>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</si>
  <si>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</si>
  <si>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</si>
  <si>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</si>
  <si>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</si>
  <si>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</si>
  <si>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</si>
  <si>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</si>
  <si>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</si>
  <si>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</si>
  <si>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</si>
  <si>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</si>
  <si>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</si>
  <si>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</si>
  <si>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</si>
  <si>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</si>
  <si>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</si>
  <si>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</si>
  <si>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</si>
  <si>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</si>
  <si>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</si>
  <si>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</si>
  <si>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</si>
  <si>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</si>
  <si>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</si>
  <si>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</si>
  <si>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</si>
  <si>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</si>
  <si>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</si>
  <si>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</si>
  <si>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</si>
  <si>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</si>
  <si>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</si>
  <si>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</si>
  <si>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</si>
  <si>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</si>
  <si>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</si>
  <si>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</si>
  <si>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</si>
  <si>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</si>
  <si>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</si>
  <si>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</si>
  <si>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</si>
  <si>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</si>
  <si>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</si>
  <si>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</si>
  <si>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</si>
  <si>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</si>
  <si>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</si>
  <si>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</si>
  <si>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</si>
  <si>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</si>
  <si>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</si>
  <si>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</si>
  <si>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</si>
  <si>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</si>
  <si>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</si>
  <si>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</si>
  <si>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</si>
  <si>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</si>
  <si>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</si>
  <si>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</si>
  <si>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</si>
  <si>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</si>
  <si>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</si>
  <si>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</si>
  <si>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</si>
  <si>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</si>
  <si>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</si>
  <si>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</si>
  <si>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</si>
  <si>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</si>
  <si>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</si>
  <si>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</si>
  <si>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</si>
  <si>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</si>
  <si>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</si>
  <si>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</si>
  <si>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</si>
  <si>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</si>
  <si>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</si>
  <si>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</si>
  <si>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</si>
  <si>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</si>
  <si>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</si>
  <si>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</si>
  <si>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</si>
  <si>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</si>
  <si>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</si>
  <si>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</si>
  <si>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</si>
  <si>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</si>
  <si>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</si>
  <si>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</si>
  <si>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</si>
  <si>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</si>
  <si>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</si>
  <si>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</si>
  <si>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</si>
  <si>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</si>
  <si>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</si>
  <si>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</si>
  <si>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</si>
  <si>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</si>
  <si>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</si>
  <si>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</si>
  <si>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</si>
  <si>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</si>
  <si>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</si>
  <si>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</si>
  <si>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</si>
  <si>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</si>
  <si>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</si>
  <si>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</si>
  <si>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</si>
  <si>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</si>
  <si>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</si>
  <si>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</si>
  <si>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</si>
  <si>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</si>
  <si>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</si>
  <si>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</si>
  <si>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</si>
  <si>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</si>
  <si>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</si>
  <si>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</si>
  <si>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</si>
  <si>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</si>
  <si>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</si>
  <si>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</si>
  <si>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</si>
  <si>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</si>
  <si>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</si>
  <si>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</si>
  <si>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</si>
  <si>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</si>
  <si>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</si>
  <si>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</si>
  <si>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</si>
  <si>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</si>
  <si>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</si>
  <si>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</si>
  <si>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</si>
  <si>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</si>
  <si>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</si>
  <si>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</si>
  <si>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</si>
  <si>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</si>
  <si>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</si>
  <si>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</si>
  <si>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</si>
  <si>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</si>
  <si>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</si>
  <si>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</si>
  <si>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</si>
  <si>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</si>
  <si>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</si>
  <si>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</si>
  <si>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</si>
  <si>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</si>
  <si>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</si>
  <si>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</si>
  <si>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</si>
  <si>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</si>
  <si>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</si>
  <si>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</si>
  <si>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</si>
  <si>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</si>
  <si>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</si>
  <si>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</si>
  <si>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</si>
  <si>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</si>
  <si>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</si>
  <si>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</si>
  <si>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</si>
  <si>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</si>
  <si>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</si>
  <si>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</si>
  <si>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</si>
  <si>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</si>
  <si>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</si>
  <si>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</si>
  <si>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</si>
  <si>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</si>
  <si>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</si>
  <si>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</si>
  <si>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</si>
  <si>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</si>
  <si>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</si>
  <si>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</si>
  <si>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</si>
  <si>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</si>
  <si>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</si>
  <si>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</si>
  <si>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</si>
  <si>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</si>
  <si>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</si>
  <si>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</si>
  <si>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</si>
  <si>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</si>
  <si>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</si>
  <si>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</si>
  <si>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</si>
  <si>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</si>
  <si>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</si>
  <si>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</si>
  <si>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</si>
  <si>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</si>
  <si>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</si>
  <si>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</si>
  <si>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</si>
  <si>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</si>
  <si>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</si>
  <si>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</si>
  <si>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</si>
  <si>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</si>
  <si>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</si>
  <si>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</si>
  <si>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</si>
  <si>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</si>
  <si>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</si>
  <si>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</si>
  <si>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</si>
  <si>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</si>
  <si>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</si>
  <si>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</si>
  <si>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</si>
  <si>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</si>
  <si>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</si>
  <si>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</si>
  <si>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</si>
  <si>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</si>
  <si>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</si>
  <si>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</si>
  <si>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</si>
  <si>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</si>
  <si>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</si>
  <si>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</si>
  <si>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</si>
  <si>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</si>
  <si>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</si>
  <si>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</si>
  <si>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</si>
  <si>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</si>
  <si>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</si>
  <si>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</si>
  <si>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</si>
  <si>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</si>
  <si>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</si>
  <si>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</si>
  <si>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</si>
  <si>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</si>
  <si>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</si>
  <si>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</si>
  <si>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</si>
  <si>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</si>
  <si>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</si>
  <si>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</si>
  <si>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</si>
  <si>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</si>
  <si>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</si>
  <si>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</si>
  <si>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</si>
  <si>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</si>
  <si>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</si>
  <si>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</si>
  <si>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</si>
  <si>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</si>
  <si>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</si>
  <si>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</si>
  <si>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</si>
  <si>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</si>
  <si>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</si>
  <si>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</si>
  <si>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</si>
  <si>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</si>
  <si>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</si>
  <si>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</si>
  <si>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</si>
  <si>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</si>
  <si>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</si>
  <si>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</si>
  <si>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</si>
  <si>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</si>
  <si>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</si>
  <si>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</si>
  <si>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</si>
  <si>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</si>
  <si>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</si>
  <si>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</si>
  <si>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</si>
  <si>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</si>
  <si>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</si>
  <si>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</si>
  <si>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</si>
  <si>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</si>
  <si>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</si>
  <si>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</si>
  <si>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</si>
  <si>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</si>
  <si>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</si>
  <si>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</si>
  <si>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</si>
  <si>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</si>
  <si>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</si>
  <si>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</si>
  <si>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</si>
  <si>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</si>
  <si>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</si>
  <si>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</si>
  <si>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</si>
  <si>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</si>
  <si>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</si>
  <si>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</si>
  <si>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</si>
  <si>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</si>
  <si>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</si>
  <si>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</si>
  <si>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</si>
  <si>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</si>
  <si>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</si>
  <si>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</si>
  <si>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</si>
  <si>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</si>
  <si>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</si>
  <si>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</si>
  <si>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</si>
  <si>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</si>
  <si>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</si>
  <si>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</si>
  <si>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</si>
  <si>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</si>
  <si>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</si>
  <si>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</si>
  <si>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</si>
  <si>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</si>
  <si>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</si>
  <si>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</si>
  <si>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</si>
  <si>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</si>
  <si>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</si>
  <si>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</si>
  <si>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</si>
  <si>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</si>
  <si>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</si>
  <si>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</si>
  <si>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</si>
  <si>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</si>
  <si>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</si>
  <si>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</si>
  <si>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</si>
  <si>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</si>
  <si>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</si>
  <si>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</si>
  <si>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</si>
  <si>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</si>
  <si>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</si>
  <si>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</si>
  <si>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</si>
  <si>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</si>
  <si>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</si>
  <si>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</si>
  <si>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</si>
  <si>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</si>
  <si>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</si>
  <si>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</si>
  <si>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</si>
  <si>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</si>
  <si>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</si>
  <si>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</si>
  <si>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</si>
  <si>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</si>
  <si>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</si>
  <si>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</si>
  <si>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</si>
  <si>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</si>
  <si>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</si>
  <si>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</si>
  <si>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</si>
  <si>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</si>
  <si>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</si>
  <si>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</si>
  <si>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</si>
  <si>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</si>
  <si>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</si>
  <si>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</si>
  <si>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</si>
  <si>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</si>
  <si>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</si>
  <si>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</si>
  <si>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</si>
  <si>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</si>
  <si>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</si>
  <si>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</si>
  <si>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</si>
  <si>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</si>
  <si>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</si>
  <si>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</si>
  <si>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</si>
  <si>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</si>
  <si>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</si>
  <si>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</si>
  <si>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</si>
  <si>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</si>
  <si>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</si>
  <si>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</si>
  <si>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</si>
  <si>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</si>
  <si>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</si>
  <si>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</si>
  <si>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</si>
  <si>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</si>
  <si>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</si>
  <si>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</si>
  <si>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</si>
  <si>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</si>
  <si>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</si>
  <si>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</si>
  <si>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</si>
  <si>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</si>
  <si>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</si>
  <si>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</si>
  <si>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</si>
  <si>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</si>
  <si>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</si>
  <si>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</si>
  <si>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</si>
  <si>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</si>
  <si>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</si>
  <si>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</si>
  <si>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</si>
  <si>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</si>
  <si>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</si>
  <si>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</si>
  <si>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</si>
  <si>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</si>
  <si>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</si>
  <si>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</si>
  <si>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</si>
  <si>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</si>
  <si>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</si>
  <si>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</si>
  <si>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</si>
  <si>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</si>
  <si>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</si>
  <si>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</si>
  <si>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</si>
  <si>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</si>
  <si>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</si>
  <si>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</si>
  <si>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</si>
  <si>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</si>
  <si>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</si>
  <si>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</si>
  <si>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</si>
  <si>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</si>
  <si>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</si>
  <si>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</si>
  <si>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</si>
  <si>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</si>
  <si>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</si>
  <si>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</si>
  <si>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</si>
  <si>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</si>
  <si>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</si>
  <si>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</si>
  <si>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</si>
  <si>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</si>
  <si>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</si>
  <si>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</si>
  <si>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</si>
  <si>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</si>
  <si>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</si>
  <si>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</si>
  <si>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</si>
  <si>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</si>
  <si>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</si>
  <si>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</si>
  <si>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</si>
  <si>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</si>
  <si>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</si>
  <si>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</si>
  <si>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</si>
  <si>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</si>
  <si>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</si>
  <si>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</si>
  <si>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</si>
  <si>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</si>
  <si>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</si>
  <si>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</si>
  <si>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</si>
  <si>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</si>
  <si>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</si>
  <si>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</si>
  <si>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</si>
  <si>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</si>
  <si>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</si>
  <si>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</si>
  <si>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</si>
  <si>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</si>
  <si>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</si>
  <si>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</si>
  <si>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</si>
  <si>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</si>
  <si>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</si>
  <si>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</si>
  <si>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</si>
  <si>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</si>
  <si>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</si>
  <si>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</si>
  <si>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</si>
  <si>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</si>
  <si>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</si>
  <si>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</si>
  <si>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</si>
  <si>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</si>
  <si>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</si>
  <si>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</si>
  <si>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</si>
  <si>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</si>
  <si>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</si>
  <si>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</si>
  <si>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</si>
  <si>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</si>
  <si>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</si>
  <si>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</si>
  <si>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</si>
  <si>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</si>
  <si>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</si>
  <si>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</si>
  <si>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</si>
  <si>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</si>
  <si>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</si>
  <si>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</si>
  <si>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</si>
  <si>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</si>
  <si>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</si>
  <si>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</si>
  <si>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</si>
  <si>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</si>
  <si>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</si>
  <si>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</si>
  <si>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</si>
  <si>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</si>
  <si>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</si>
  <si>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</si>
  <si>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</si>
  <si>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</si>
  <si>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</si>
  <si>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</si>
  <si>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</si>
  <si>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</si>
  <si>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</si>
  <si>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</si>
  <si>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</si>
  <si>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</si>
  <si>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</si>
  <si>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</si>
  <si>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</si>
  <si>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</si>
  <si>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</si>
  <si>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</si>
  <si>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</si>
  <si>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</si>
  <si>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</si>
  <si>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</si>
  <si>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</si>
  <si>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</si>
  <si>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</si>
  <si>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</si>
  <si>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</si>
  <si>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</si>
  <si>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</si>
  <si>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</si>
  <si>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</si>
  <si>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</si>
  <si>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</si>
  <si>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</si>
  <si>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</si>
  <si>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</si>
  <si>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</si>
  <si>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</si>
  <si>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</si>
  <si>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</si>
  <si>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</si>
  <si>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</si>
  <si>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</si>
  <si>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</si>
  <si>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</si>
  <si>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</si>
  <si>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</si>
  <si>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</si>
  <si>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</si>
  <si>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</si>
  <si>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</si>
  <si>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</si>
  <si>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</si>
  <si>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</si>
  <si>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</si>
  <si>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</si>
  <si>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</si>
  <si>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</si>
  <si>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</si>
  <si>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</si>
  <si>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</si>
  <si>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</si>
  <si>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</si>
  <si>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</si>
  <si>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</si>
  <si>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</si>
  <si>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</si>
  <si>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</si>
  <si>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</si>
  <si>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</si>
  <si>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</si>
  <si>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</si>
  <si>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</si>
  <si>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</si>
  <si>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</si>
  <si>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</si>
  <si>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</si>
  <si>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</si>
  <si>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</si>
  <si>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</si>
  <si>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</si>
  <si>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</si>
  <si>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</si>
  <si>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</si>
  <si>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</si>
  <si>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</si>
  <si>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</si>
  <si>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</si>
  <si>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</si>
  <si>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</si>
  <si>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</si>
  <si>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</si>
  <si>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</si>
  <si>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</si>
  <si>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</si>
  <si>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</si>
  <si>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</si>
  <si>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</si>
  <si>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</si>
  <si>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</si>
  <si>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</si>
  <si>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</si>
  <si>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</si>
  <si>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</si>
  <si>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</si>
  <si>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</si>
  <si>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</si>
  <si>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</si>
  <si>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</si>
  <si>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</si>
  <si>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</si>
  <si>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</si>
  <si>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</si>
  <si>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</si>
  <si>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</si>
  <si>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</si>
  <si>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</si>
  <si>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</si>
  <si>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</si>
  <si>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</si>
  <si>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</si>
  <si>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</si>
  <si>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</si>
  <si>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</si>
  <si>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</si>
  <si>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</si>
  <si>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</si>
  <si>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</si>
  <si>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</si>
  <si>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</si>
  <si>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</si>
  <si>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</si>
  <si>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</si>
  <si>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</si>
  <si>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</si>
  <si>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</si>
  <si>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</si>
  <si>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</si>
  <si>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</si>
  <si>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</si>
  <si>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</si>
  <si>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</si>
  <si>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</si>
  <si>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</si>
  <si>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</si>
  <si>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</si>
  <si>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</si>
  <si>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</si>
  <si>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</si>
  <si>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</si>
  <si>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</si>
  <si>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</si>
  <si>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</si>
  <si>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</si>
  <si>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</si>
  <si>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</si>
  <si>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</si>
  <si>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</si>
  <si>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</si>
  <si>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</si>
  <si>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</si>
  <si>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</si>
  <si>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</si>
  <si>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</si>
  <si>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</si>
  <si>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</si>
  <si>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</si>
  <si>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</si>
  <si>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</si>
  <si>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</si>
  <si>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</si>
  <si>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</si>
  <si>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</si>
  <si>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</si>
  <si>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</si>
  <si>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</si>
  <si>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</si>
  <si>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</si>
  <si>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</si>
  <si>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</si>
  <si>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</si>
  <si>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</si>
  <si>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</si>
  <si>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</si>
  <si>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</si>
  <si>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</si>
  <si>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</si>
  <si>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</si>
  <si>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</si>
  <si>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</si>
  <si>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</si>
  <si>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</si>
  <si>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</si>
  <si>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</si>
  <si>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</si>
  <si>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</si>
  <si>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</si>
  <si>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</si>
  <si>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</si>
  <si>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</si>
  <si>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</si>
  <si>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</si>
  <si>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</si>
  <si>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</si>
  <si>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</si>
  <si>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</si>
  <si>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</si>
  <si>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</si>
  <si>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</si>
  <si>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</si>
  <si>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</si>
  <si>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</si>
  <si>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</si>
  <si>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</si>
  <si>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</si>
  <si>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</si>
  <si>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</si>
  <si>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</si>
  <si>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</si>
  <si>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</si>
  <si>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</si>
  <si>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</si>
  <si>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</si>
  <si>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</si>
  <si>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</si>
  <si>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</si>
  <si>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</si>
  <si>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</si>
  <si>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</si>
  <si>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</si>
  <si>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</si>
  <si>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</si>
  <si>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</si>
  <si>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</si>
  <si>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</si>
  <si>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</si>
  <si>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</si>
  <si>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</si>
  <si>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</si>
  <si>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</si>
  <si>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</si>
  <si>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</si>
  <si>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</si>
  <si>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</si>
  <si>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</si>
  <si>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</si>
  <si>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</si>
  <si>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</si>
  <si>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</si>
  <si>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</si>
  <si>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</si>
  <si>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</si>
  <si>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</si>
  <si>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</si>
  <si>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</si>
  <si>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</si>
  <si>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</si>
  <si>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</si>
  <si>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</si>
  <si>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</si>
  <si>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</si>
  <si>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</si>
  <si>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</si>
  <si>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</si>
  <si>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</si>
  <si>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</si>
  <si>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</si>
  <si>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</si>
  <si>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</si>
  <si>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</si>
  <si>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</si>
  <si>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</si>
  <si>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</si>
  <si>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</si>
  <si>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</si>
  <si>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</si>
  <si>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</si>
  <si>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</si>
  <si>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</si>
  <si>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</si>
  <si>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</si>
  <si>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</si>
  <si>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</si>
  <si>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</si>
  <si>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</si>
  <si>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</si>
  <si>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</si>
  <si>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</si>
  <si>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</si>
  <si>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</si>
  <si>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</si>
  <si>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</si>
  <si>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</si>
  <si>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</si>
  <si>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</si>
  <si>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</si>
  <si>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</si>
  <si>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</si>
  <si>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</si>
  <si>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</si>
  <si>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</si>
  <si>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</si>
  <si>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</si>
  <si>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</si>
  <si>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</si>
  <si>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</si>
  <si>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</si>
  <si>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</si>
  <si>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</si>
  <si>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</si>
  <si>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</si>
  <si>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</si>
  <si>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</si>
  <si>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</si>
  <si>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</si>
  <si>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</si>
  <si>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</si>
  <si>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</si>
  <si>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</si>
  <si>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</si>
  <si>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</si>
  <si>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</si>
  <si>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</si>
  <si>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</si>
  <si>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</si>
  <si>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</si>
  <si>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</si>
  <si>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</si>
  <si>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</si>
  <si>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</si>
  <si>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</si>
  <si>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</si>
  <si>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</si>
  <si>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</si>
  <si>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</si>
  <si>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</si>
  <si>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</si>
  <si>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</si>
  <si>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</si>
  <si>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</si>
  <si>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</si>
  <si>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</si>
  <si>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</si>
  <si>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</si>
  <si>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</si>
  <si>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</si>
  <si>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</si>
  <si>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</si>
  <si>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</si>
  <si>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</si>
  <si>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</si>
  <si>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</si>
  <si>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</si>
  <si>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</si>
  <si>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</si>
  <si>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</si>
  <si>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</si>
  <si>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</si>
  <si>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</si>
  <si>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</si>
  <si>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</si>
  <si>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</si>
  <si>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</si>
  <si>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</si>
  <si>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</si>
  <si>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</si>
  <si>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</si>
  <si>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</si>
  <si>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</si>
  <si>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</si>
  <si>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</si>
  <si>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</si>
  <si>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</si>
  <si>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</si>
  <si>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</si>
  <si>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</si>
  <si>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</si>
  <si>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</si>
  <si>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</si>
  <si>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</si>
  <si>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</si>
  <si>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</si>
  <si>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</si>
  <si>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</si>
  <si>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</si>
  <si>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</si>
  <si>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</si>
  <si>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</si>
  <si>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</si>
  <si>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</si>
  <si>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</si>
  <si>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</si>
  <si>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</si>
  <si>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</si>
  <si>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</si>
  <si>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</si>
  <si>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</si>
  <si>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</si>
  <si>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</si>
  <si>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</si>
  <si>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</si>
  <si>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</si>
  <si>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</si>
  <si>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</si>
  <si>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</si>
  <si>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</si>
  <si>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</si>
  <si>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</si>
  <si>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</si>
  <si>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</si>
  <si>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</si>
  <si>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</si>
  <si>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</si>
  <si>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</si>
  <si>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</si>
  <si>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</si>
  <si>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</si>
  <si>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</si>
  <si>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</si>
  <si>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</si>
  <si>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</si>
  <si>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</si>
  <si>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</si>
  <si>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</si>
  <si>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</si>
  <si>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</si>
  <si>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</si>
  <si>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</si>
  <si>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</si>
  <si>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</si>
  <si>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</si>
  <si>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</si>
  <si>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</si>
  <si>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</si>
  <si>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</si>
  <si>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</si>
  <si>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</si>
  <si>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</si>
  <si>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</si>
  <si>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</si>
  <si>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</si>
  <si>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</si>
  <si>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</si>
  <si>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</si>
  <si>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</si>
  <si>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</si>
  <si>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</si>
  <si>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</si>
  <si>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</si>
  <si>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</si>
  <si>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</si>
  <si>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</si>
  <si>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</si>
  <si>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</si>
  <si>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</si>
  <si>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</si>
  <si>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</si>
  <si>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</si>
  <si>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</si>
  <si>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</si>
  <si>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</si>
  <si>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</si>
  <si>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</si>
  <si>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</si>
  <si>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</si>
  <si>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</si>
  <si>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</si>
  <si>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</si>
  <si>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</si>
  <si>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</si>
  <si>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</si>
  <si>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</si>
  <si>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</si>
  <si>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</si>
  <si>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</si>
  <si>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</si>
  <si>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</si>
  <si>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</si>
  <si>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</si>
  <si>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</si>
  <si>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</si>
  <si>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</si>
  <si>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</si>
  <si>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</si>
  <si>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</si>
  <si>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</si>
  <si>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</si>
  <si>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</si>
  <si>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</si>
  <si>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</si>
  <si>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</si>
  <si>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</si>
  <si>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</si>
  <si>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</si>
  <si>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</si>
  <si>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</si>
  <si>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</si>
  <si>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</si>
  <si>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</si>
  <si>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</si>
  <si>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</si>
  <si>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</si>
  <si>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</si>
  <si>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</si>
  <si>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</si>
  <si>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</si>
  <si>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</si>
  <si>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</si>
  <si>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</si>
  <si>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</si>
  <si>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</si>
  <si>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</si>
  <si>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</si>
  <si>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</si>
  <si>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</si>
  <si>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</si>
  <si>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</si>
  <si>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</si>
  <si>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</si>
  <si>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</si>
  <si>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</si>
  <si>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</si>
  <si>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</si>
  <si>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</si>
  <si>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</si>
  <si>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</si>
  <si>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</si>
  <si>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</si>
  <si>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</si>
  <si>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</si>
  <si>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</si>
  <si>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</si>
  <si>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</si>
  <si>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</si>
  <si>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</si>
  <si>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</si>
  <si>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</si>
  <si>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</si>
  <si>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</si>
  <si>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</si>
  <si>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</si>
  <si>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</si>
  <si>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</si>
  <si>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</si>
  <si>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</si>
  <si>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</si>
  <si>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</si>
  <si>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</si>
  <si>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</si>
  <si>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</si>
  <si>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</si>
  <si>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</si>
  <si>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</si>
  <si>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</si>
  <si>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</si>
  <si>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</si>
  <si>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</si>
  <si>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</si>
  <si>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</si>
  <si>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</si>
  <si>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</si>
  <si>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</si>
  <si>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</si>
  <si>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</si>
  <si>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</si>
  <si>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</si>
  <si>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</si>
  <si>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</si>
  <si>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</si>
  <si>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</si>
  <si>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</si>
  <si>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</si>
  <si>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</si>
  <si>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</si>
  <si>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</si>
  <si>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</si>
  <si>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</si>
  <si>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</si>
  <si>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</si>
  <si>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</si>
  <si>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</si>
  <si>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</si>
  <si>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</si>
  <si>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</si>
  <si>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</si>
  <si>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</si>
  <si>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</si>
  <si>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</si>
  <si>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</si>
  <si>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</si>
  <si>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</si>
  <si>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</si>
  <si>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</si>
  <si>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</si>
  <si>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</si>
  <si>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</si>
  <si>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</si>
  <si>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</si>
  <si>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</si>
  <si>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</si>
  <si>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</si>
  <si>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</si>
  <si>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</si>
  <si>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</si>
  <si>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</si>
  <si>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</si>
  <si>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</si>
  <si>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</si>
  <si>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</si>
  <si>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</si>
  <si>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</si>
  <si>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</si>
  <si>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</si>
  <si>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</si>
  <si>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</si>
  <si>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</si>
  <si>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</si>
  <si>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</si>
  <si>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</si>
  <si>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</si>
  <si>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</si>
  <si>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</si>
  <si>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</si>
  <si>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</si>
  <si>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</si>
  <si>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</si>
  <si>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</si>
  <si>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</si>
  <si>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</si>
  <si>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</si>
  <si>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</si>
  <si>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</si>
  <si>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</si>
  <si>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</si>
  <si>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</si>
  <si>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</si>
  <si>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</si>
  <si>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</si>
  <si>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</si>
  <si>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</si>
  <si>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</si>
  <si>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</si>
  <si>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</si>
  <si>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</si>
  <si>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</si>
  <si>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</si>
  <si>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</si>
  <si>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</si>
  <si>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</si>
  <si>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</si>
  <si>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</si>
  <si>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</si>
  <si>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</si>
  <si>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</si>
  <si>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</si>
  <si>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</si>
  <si>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</si>
  <si>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</si>
  <si>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</si>
  <si>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</si>
  <si>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</si>
  <si>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</si>
  <si>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</si>
  <si>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</si>
  <si>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</si>
  <si>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</si>
  <si>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</si>
  <si>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</si>
  <si>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</si>
  <si>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</si>
  <si>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</si>
  <si>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</si>
  <si>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</si>
  <si>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</si>
  <si>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</si>
  <si>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</si>
  <si>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</si>
  <si>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</si>
  <si>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</si>
  <si>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</si>
  <si>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</si>
  <si>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</si>
  <si>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</si>
  <si>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</si>
  <si>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</si>
  <si>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</si>
  <si>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</si>
  <si>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</si>
  <si>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</si>
  <si>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</si>
  <si>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</si>
  <si>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</si>
  <si>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</si>
  <si>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</si>
  <si>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</si>
  <si>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</si>
  <si>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</si>
  <si>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</si>
  <si>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</si>
  <si>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</si>
  <si>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</si>
  <si>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</si>
  <si>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</si>
  <si>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</si>
  <si>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</si>
  <si>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</si>
  <si>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</si>
  <si>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</si>
  <si>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</si>
  <si>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</si>
  <si>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</si>
  <si>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</si>
  <si>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</si>
  <si>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</si>
  <si>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</si>
  <si>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</si>
  <si>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</si>
  <si>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</si>
  <si>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</si>
  <si>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</si>
  <si>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</si>
  <si>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</si>
  <si>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</si>
  <si>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</si>
  <si>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</si>
  <si>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</si>
  <si>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</si>
  <si>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</si>
  <si>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</si>
  <si>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</si>
  <si>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</si>
  <si>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</si>
  <si>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</si>
  <si>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</si>
  <si>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</si>
  <si>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</si>
  <si>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</si>
  <si>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</si>
  <si>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</si>
  <si>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</si>
  <si>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</si>
  <si>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</si>
  <si>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</si>
  <si>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</si>
  <si>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</si>
  <si>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</si>
  <si>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</si>
  <si>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</si>
  <si>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</si>
  <si>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</si>
  <si>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</si>
  <si>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</si>
  <si>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</si>
  <si>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</si>
  <si>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</si>
  <si>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</si>
  <si>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</si>
  <si>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</si>
  <si>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</si>
  <si>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</si>
  <si>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</si>
  <si>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</si>
  <si>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</si>
  <si>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</si>
  <si>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</si>
  <si>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</si>
  <si>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</si>
  <si>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</si>
  <si>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</si>
  <si>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</si>
  <si>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</si>
  <si>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</si>
  <si>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</si>
  <si>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</si>
  <si>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</si>
  <si>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</si>
  <si>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</si>
  <si>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</si>
  <si>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</si>
  <si>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</si>
  <si>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</si>
  <si>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</si>
  <si>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</si>
  <si>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</si>
  <si>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</si>
  <si>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</si>
  <si>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</si>
  <si>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</si>
  <si>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</si>
  <si>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</si>
  <si>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</si>
  <si>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</si>
  <si>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</si>
  <si>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</si>
  <si>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</si>
  <si>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</si>
  <si>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</si>
  <si>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</si>
  <si>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</si>
  <si>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</si>
  <si>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</si>
  <si>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</si>
  <si>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</si>
  <si>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</si>
  <si>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</si>
  <si>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</si>
  <si>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</si>
  <si>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</si>
  <si>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</si>
  <si>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</si>
  <si>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</si>
  <si>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</si>
  <si>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</si>
  <si>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</si>
  <si>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</si>
  <si>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</si>
  <si>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</si>
  <si>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</si>
  <si>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</si>
  <si>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</si>
  <si>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</si>
  <si>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</si>
  <si>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</si>
  <si>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</si>
  <si>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</si>
  <si>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</si>
  <si>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</si>
  <si>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</si>
  <si>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</si>
  <si>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</si>
  <si>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</si>
  <si>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</si>
  <si>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</si>
  <si>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</si>
  <si>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</si>
  <si>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</si>
  <si>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</si>
  <si>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</si>
  <si>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</si>
  <si>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</si>
  <si>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</si>
  <si>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</si>
  <si>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</si>
  <si>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</si>
  <si>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</si>
  <si>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</si>
  <si>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</si>
  <si>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</si>
  <si>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</si>
  <si>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</si>
  <si>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</si>
  <si>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</si>
  <si>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</si>
  <si>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</si>
  <si>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</si>
  <si>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</si>
  <si>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</si>
  <si>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</si>
  <si>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</si>
  <si>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</si>
  <si>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</si>
  <si>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</si>
  <si>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</si>
  <si>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</si>
  <si>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</si>
  <si>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</si>
  <si>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</si>
  <si>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</si>
  <si>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</si>
  <si>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</si>
  <si>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</si>
  <si>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</si>
  <si>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</si>
  <si>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</si>
  <si>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</si>
  <si>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</si>
  <si>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</si>
  <si>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</si>
  <si>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</si>
  <si>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</si>
  <si>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</si>
  <si>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</si>
  <si>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</si>
  <si>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</si>
  <si>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</si>
  <si>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</si>
  <si>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</si>
  <si>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</si>
  <si>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</si>
  <si>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</si>
  <si>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</si>
  <si>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</si>
  <si>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</si>
  <si>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</si>
  <si>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</si>
  <si>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</si>
  <si>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</si>
  <si>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</si>
  <si>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</si>
  <si>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</si>
  <si>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</si>
  <si>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</si>
  <si>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</si>
  <si>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</si>
  <si>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</si>
  <si>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</si>
  <si>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</si>
  <si>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</si>
  <si>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</si>
  <si>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</si>
  <si>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</si>
  <si>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</si>
  <si>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</si>
  <si>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</si>
  <si>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</si>
  <si>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</si>
  <si>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</si>
  <si>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</si>
  <si>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</si>
  <si>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</si>
  <si>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</si>
  <si>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</si>
  <si>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</si>
  <si>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</si>
  <si>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</si>
  <si>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</si>
  <si>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</si>
  <si>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</si>
  <si>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</si>
  <si>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</si>
  <si>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</si>
  <si>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</si>
  <si>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</si>
  <si>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</si>
  <si>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</si>
  <si>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</si>
  <si>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</si>
  <si>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</si>
  <si>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</si>
  <si>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</si>
  <si>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</si>
  <si>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</si>
  <si>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</si>
  <si>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</si>
  <si>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</si>
  <si>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</si>
  <si>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</si>
  <si>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</si>
  <si>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</si>
  <si>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</si>
  <si>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</si>
  <si>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</si>
  <si>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</si>
  <si>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</si>
  <si>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</si>
  <si>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</si>
  <si>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</si>
  <si>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</si>
  <si>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</si>
  <si>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</si>
  <si>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</si>
  <si>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</si>
  <si>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</si>
  <si>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</si>
  <si>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</si>
  <si>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</si>
  <si>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</si>
  <si>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</si>
  <si>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</si>
  <si>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</si>
  <si>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</si>
  <si>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</si>
  <si>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</si>
  <si>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</si>
  <si>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</si>
  <si>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</si>
  <si>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</si>
  <si>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</si>
  <si>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</si>
  <si>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</si>
  <si>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</si>
  <si>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</si>
  <si>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</si>
  <si>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</si>
  <si>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</si>
  <si>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</si>
  <si>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</si>
  <si>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</si>
  <si>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</si>
  <si>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</si>
  <si>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</si>
  <si>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</si>
  <si>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</si>
  <si>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</si>
  <si>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</si>
  <si>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</si>
  <si>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</si>
  <si>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</si>
  <si>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</si>
  <si>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</si>
  <si>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</si>
  <si>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</si>
  <si>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</si>
  <si>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</si>
  <si>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</si>
  <si>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</si>
  <si>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</si>
  <si>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</si>
  <si>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</si>
  <si>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</si>
  <si>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</si>
  <si>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</si>
  <si>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</si>
  <si>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</si>
  <si>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</si>
  <si>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</si>
  <si>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</si>
  <si>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</si>
  <si>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</si>
  <si>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</si>
  <si>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</si>
  <si>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</si>
  <si>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</si>
  <si>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</si>
  <si>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</si>
  <si>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</si>
  <si>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</si>
  <si>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</si>
  <si>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</si>
  <si>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</si>
  <si>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</si>
  <si>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</si>
  <si>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</si>
  <si>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</si>
  <si>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</si>
  <si>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</si>
  <si>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</si>
  <si>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</si>
  <si>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</si>
  <si>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</si>
  <si>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</si>
  <si>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</si>
  <si>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</si>
  <si>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</si>
  <si>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</si>
  <si>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</si>
  <si>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</si>
  <si>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</si>
  <si>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</si>
  <si>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</si>
  <si>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</si>
  <si>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</si>
  <si>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</si>
  <si>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</si>
  <si>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</si>
  <si>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</si>
  <si>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</si>
  <si>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</si>
  <si>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</si>
  <si>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</si>
  <si>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</si>
  <si>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</si>
  <si>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</si>
  <si>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</si>
  <si>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</si>
  <si>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</si>
  <si>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</si>
  <si>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</si>
  <si>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</si>
  <si>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</si>
  <si>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</si>
  <si>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</si>
  <si>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</si>
  <si>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</si>
  <si>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</si>
  <si>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</si>
  <si>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</si>
  <si>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</si>
  <si>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</si>
  <si>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</si>
  <si>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</si>
  <si>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</si>
  <si>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</si>
  <si>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</si>
  <si>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</si>
  <si>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</si>
  <si>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</si>
  <si>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</si>
  <si>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</si>
  <si>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</si>
  <si>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</si>
  <si>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</si>
  <si>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</si>
  <si>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</si>
  <si>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</si>
  <si>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</si>
  <si>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</si>
  <si>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</si>
  <si>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</si>
  <si>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</si>
  <si>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</si>
  <si>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</si>
  <si>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</si>
  <si>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</si>
  <si>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</si>
  <si>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</si>
  <si>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</si>
  <si>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</si>
  <si>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</si>
  <si>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</si>
  <si>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</si>
  <si>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</si>
  <si>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</si>
  <si>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</si>
  <si>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</si>
  <si>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</si>
  <si>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</si>
  <si>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</si>
  <si>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</si>
  <si>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</si>
  <si>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</si>
  <si>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</si>
  <si>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</si>
  <si>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</si>
  <si>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</si>
  <si>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</si>
  <si>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</si>
  <si>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</si>
  <si>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</si>
  <si>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</si>
  <si>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</si>
  <si>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</si>
  <si>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</si>
  <si>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</si>
  <si>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</si>
  <si>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</si>
  <si>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</si>
  <si>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</si>
  <si>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</si>
  <si>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</si>
  <si>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</si>
  <si>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</si>
  <si>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</si>
  <si>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</si>
  <si>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</si>
  <si>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</si>
  <si>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</si>
  <si>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</si>
  <si>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</si>
  <si>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</si>
  <si>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</si>
  <si>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</si>
  <si>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</si>
  <si>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</si>
  <si>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</si>
  <si>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</si>
  <si>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</si>
  <si>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</si>
  <si>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</si>
  <si>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</si>
  <si>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</si>
  <si>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</si>
  <si>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</si>
  <si>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</si>
  <si>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</si>
  <si>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</si>
  <si>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</si>
  <si>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</si>
  <si>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</si>
  <si>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</si>
  <si>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</si>
  <si>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</si>
  <si>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</si>
  <si>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</si>
  <si>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</si>
  <si>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</si>
  <si>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</si>
  <si>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</si>
  <si>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</si>
  <si>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</si>
  <si>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</si>
  <si>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</si>
  <si>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</si>
  <si>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</si>
  <si>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</si>
  <si>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</si>
  <si>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</si>
  <si>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</si>
  <si>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</si>
  <si>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</si>
  <si>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</si>
  <si>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</si>
  <si>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</si>
  <si>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</si>
  <si>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</si>
  <si>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</si>
  <si>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</si>
  <si>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</si>
  <si>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</si>
  <si>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</si>
  <si>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</si>
  <si>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</si>
  <si>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</si>
  <si>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</si>
  <si>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</si>
  <si>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</si>
  <si>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</si>
  <si>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</si>
  <si>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</si>
  <si>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</si>
  <si>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</si>
  <si>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</si>
  <si>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</si>
  <si>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</si>
  <si>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</si>
  <si>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</si>
  <si>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</si>
  <si>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</si>
  <si>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</si>
  <si>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</si>
  <si>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</si>
  <si>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</si>
  <si>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</si>
  <si>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</si>
  <si>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</si>
  <si>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</si>
  <si>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</si>
  <si>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</si>
  <si>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</si>
  <si>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</si>
  <si>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</si>
  <si>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</si>
  <si>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</si>
  <si>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</si>
  <si>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</si>
  <si>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</si>
  <si>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</si>
  <si>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</si>
  <si>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</si>
  <si>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</si>
  <si>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</si>
  <si>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</si>
  <si>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</si>
  <si>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</si>
  <si>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</si>
  <si>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</si>
  <si>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</si>
  <si>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</si>
  <si>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</si>
  <si>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</si>
  <si>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</si>
  <si>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</si>
  <si>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</si>
  <si>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</si>
  <si>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</si>
  <si>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</si>
  <si>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</si>
  <si>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</si>
  <si>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</si>
  <si>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</si>
  <si>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</si>
  <si>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</si>
  <si>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</si>
  <si>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</si>
  <si>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</si>
  <si>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</si>
  <si>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</si>
  <si>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</si>
  <si>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</si>
  <si>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</si>
  <si>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</si>
  <si>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</si>
  <si>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</si>
  <si>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</si>
  <si>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</si>
  <si>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</si>
  <si>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</si>
  <si>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</si>
  <si>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</si>
  <si>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</si>
  <si>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</si>
  <si>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</si>
  <si>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</si>
  <si>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</si>
  <si>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</si>
  <si>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</si>
  <si>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</si>
  <si>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</si>
  <si>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</si>
  <si>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</si>
  <si>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</si>
  <si>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</si>
  <si>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</si>
  <si>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</si>
  <si>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</si>
  <si>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</si>
  <si>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</si>
  <si>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</si>
  <si>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</si>
  <si>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</si>
  <si>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</si>
  <si>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</si>
  <si>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</si>
  <si>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</si>
  <si>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</si>
  <si>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</si>
  <si>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</si>
  <si>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</si>
  <si>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</si>
  <si>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</si>
  <si>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</si>
  <si>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</si>
  <si>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</si>
  <si>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</si>
  <si>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</si>
  <si>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</si>
  <si>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</si>
  <si>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</si>
  <si>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</si>
  <si>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</si>
  <si>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</si>
  <si>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</si>
  <si>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</si>
  <si>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</si>
  <si>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</si>
  <si>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</si>
  <si>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</si>
  <si>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</si>
  <si>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</si>
  <si>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</si>
  <si>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</si>
  <si>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</si>
  <si>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</si>
  <si>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</si>
  <si>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</si>
  <si>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</si>
  <si>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</si>
  <si>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</si>
  <si>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</si>
  <si>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</si>
  <si>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</si>
  <si>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</si>
  <si>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</si>
  <si>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</si>
  <si>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</si>
  <si>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</si>
  <si>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</si>
  <si>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</si>
  <si>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</si>
  <si>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</si>
  <si>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</si>
  <si>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</si>
  <si>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</si>
  <si>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</si>
  <si>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</si>
  <si>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</si>
  <si>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</si>
  <si>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</si>
  <si>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</si>
  <si>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</si>
  <si>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</si>
  <si>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</si>
  <si>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</si>
  <si>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</si>
  <si>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</si>
  <si>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</si>
  <si>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</si>
  <si>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</si>
  <si>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</si>
  <si>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</si>
  <si>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</si>
  <si>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</si>
  <si>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</si>
  <si>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</si>
  <si>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</si>
  <si>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</si>
  <si>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</si>
  <si>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</si>
  <si>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</si>
  <si>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</si>
  <si>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</si>
  <si>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</si>
  <si>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</si>
  <si>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</si>
  <si>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</si>
  <si>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</si>
  <si>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</si>
  <si>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</si>
  <si>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</si>
  <si>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</si>
  <si>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</si>
  <si>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</si>
  <si>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</si>
  <si>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</si>
  <si>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</si>
  <si>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</si>
  <si>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</si>
  <si>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</si>
  <si>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</si>
  <si>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</si>
  <si>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</si>
  <si>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</si>
  <si>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</si>
  <si>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</si>
  <si>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</si>
  <si>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</si>
  <si>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</si>
  <si>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</si>
  <si>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</si>
  <si>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</si>
  <si>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</si>
  <si>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</si>
  <si>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</si>
  <si>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</si>
  <si>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</si>
  <si>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</si>
  <si>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</si>
  <si>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</si>
  <si>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</si>
  <si>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</si>
  <si>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</si>
  <si>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</si>
  <si>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</si>
  <si>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</si>
  <si>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</si>
  <si>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</si>
  <si>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</si>
  <si>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</si>
  <si>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</si>
  <si>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</si>
  <si>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</si>
  <si>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</si>
  <si>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</si>
  <si>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</si>
  <si>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</si>
  <si>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</si>
  <si>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</si>
  <si>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</si>
  <si>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</si>
  <si>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</si>
  <si>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</si>
  <si>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</si>
  <si>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</si>
  <si>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</si>
  <si>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</si>
  <si>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</si>
  <si>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</si>
  <si>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</si>
  <si>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</si>
  <si>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</si>
  <si>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</si>
  <si>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</si>
  <si>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</si>
  <si>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</si>
  <si>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</si>
  <si>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</si>
  <si>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</si>
  <si>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</si>
  <si>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</si>
  <si>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</si>
  <si>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</si>
  <si>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</si>
  <si>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</si>
  <si>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</si>
  <si>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</si>
  <si>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</si>
  <si>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</si>
  <si>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</si>
  <si>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</si>
  <si>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</si>
  <si>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</si>
  <si>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</si>
  <si>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</si>
  <si>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</si>
  <si>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</si>
  <si>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</si>
  <si>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</si>
  <si>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</si>
  <si>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</si>
  <si>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</si>
  <si>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</si>
  <si>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</si>
  <si>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</si>
  <si>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</si>
  <si>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</si>
  <si>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</si>
  <si>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</si>
  <si>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</si>
  <si>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</si>
  <si>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</si>
  <si>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</si>
  <si>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36457028007</t>
  </si>
  <si>
    <t>03057160</t>
  </si>
  <si>
    <t>040068164</t>
  </si>
  <si>
    <t>Vrelo d.o.o.</t>
  </si>
  <si>
    <t>RAB</t>
  </si>
  <si>
    <t>Palit 68</t>
  </si>
  <si>
    <t>vrelorab@vrelo.hr</t>
  </si>
  <si>
    <t>www.vrelo.hr</t>
  </si>
  <si>
    <t>Marija Perkić</t>
  </si>
  <si>
    <t>051 724 031</t>
  </si>
  <si>
    <t>mperkic@vrelo.hr</t>
  </si>
  <si>
    <t>Ivan Lušić</t>
  </si>
  <si>
    <t>HSFI</t>
  </si>
  <si>
    <t>0578622</t>
  </si>
  <si>
    <t>051724031</t>
  </si>
  <si>
    <t>39806187636</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</si>
</sst>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35"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7" xfId="0" applyFont="1" applyFill="1" applyBorder="1" applyAlignment="1">
      <alignment horizontal="left" vertical="center"/>
    </xf>
    <xf numFmtId="0" fontId="46" fillId="45" borderId="77" xfId="0" applyFont="1" applyFill="1" applyBorder="1" applyAlignment="1">
      <alignment vertical="center"/>
    </xf>
    <xf numFmtId="0" fontId="1" fillId="0" borderId="77"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2021</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12157214.98</v>
      </c>
      <c r="I3" s="27">
        <f>ABS(ROUND(J3,0)-J3)+ABS(ROUND(K3,0)-K3)</f>
        <v>0</v>
      </c>
      <c r="J3" s="27">
        <f>Bilanca!I10</f>
        <v>204811713</v>
      </c>
      <c r="K3" s="27">
        <f>Bilanca!J10</f>
        <v>201524518</v>
      </c>
    </row>
    <row r="4" spans="1:11" ht="12.75">
      <c r="A4" s="4" t="s">
        <v>2697</v>
      </c>
      <c r="B4" s="25" t="s">
        <v>364</v>
      </c>
      <c r="D4" s="4" t="s">
        <v>554</v>
      </c>
      <c r="E4" s="4">
        <v>1</v>
      </c>
      <c r="F4" s="4">
        <f>Bilanca!G11</f>
        <v>3</v>
      </c>
      <c r="G4" s="4">
        <f>IF(Bilanca!H11=0,"",Bilanca!H11)</f>
      </c>
      <c r="H4" s="26">
        <f>J4/100*F4+2*K4/100*F4</f>
        <v>0</v>
      </c>
      <c r="I4" s="27">
        <f>ABS(ROUND(J4,0)-J4)+ABS(ROUND(K4,0)-K4)</f>
        <v>0</v>
      </c>
      <c r="J4" s="27">
        <f>Bilanca!I11</f>
        <v>0</v>
      </c>
      <c r="K4" s="27">
        <f>Bilanca!J11</f>
        <v>0</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03057160</v>
      </c>
      <c r="D6" s="4" t="s">
        <v>554</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1561</v>
      </c>
      <c r="B7" s="25" t="str">
        <f>RefStr!M27</f>
        <v>040068164</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36457028007</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Vrelo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51280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RAB</v>
      </c>
      <c r="D11" s="4" t="s">
        <v>554</v>
      </c>
      <c r="E11" s="4">
        <v>1</v>
      </c>
      <c r="F11" s="4">
        <f>Bilanca!G18</f>
        <v>10</v>
      </c>
      <c r="G11" s="4">
        <f>IF(Bilanca!H18=0,"",Bilanca!H18)</f>
      </c>
      <c r="H11" s="26">
        <f t="shared" si="0"/>
        <v>60779926.400000006</v>
      </c>
      <c r="I11" s="27">
        <f t="shared" si="1"/>
        <v>0</v>
      </c>
      <c r="J11" s="27">
        <f>Bilanca!I18</f>
        <v>204789618</v>
      </c>
      <c r="K11" s="27">
        <f>Bilanca!J18</f>
        <v>201504823</v>
      </c>
    </row>
    <row r="12" spans="1:11" ht="12.75">
      <c r="A12" s="4" t="s">
        <v>2738</v>
      </c>
      <c r="B12" s="25" t="str">
        <f>TRIM(RefStr!C33)</f>
        <v>Palit 68</v>
      </c>
      <c r="D12" s="4" t="s">
        <v>554</v>
      </c>
      <c r="E12" s="4">
        <v>1</v>
      </c>
      <c r="F12" s="4">
        <f>Bilanca!G19</f>
        <v>11</v>
      </c>
      <c r="G12" s="4">
        <f>IF(Bilanca!H19=0,"",Bilanca!H19)</f>
      </c>
      <c r="H12" s="26">
        <f t="shared" si="0"/>
        <v>591521.3699999999</v>
      </c>
      <c r="I12" s="27">
        <f t="shared" si="1"/>
        <v>0</v>
      </c>
      <c r="J12" s="27">
        <f>Bilanca!I19</f>
        <v>1792489</v>
      </c>
      <c r="K12" s="27">
        <f>Bilanca!J19</f>
        <v>1792489</v>
      </c>
    </row>
    <row r="13" spans="1:11" ht="12.75">
      <c r="A13" s="4" t="s">
        <v>2884</v>
      </c>
      <c r="B13" s="25" t="str">
        <f>TRIM(RefStr!C35)</f>
        <v>vrelorab@vrelo.hr</v>
      </c>
      <c r="D13" s="4" t="s">
        <v>554</v>
      </c>
      <c r="E13" s="4">
        <v>1</v>
      </c>
      <c r="F13" s="4">
        <f>Bilanca!G20</f>
        <v>12</v>
      </c>
      <c r="G13" s="4">
        <f>IF(Bilanca!H20=0,"",Bilanca!H20)</f>
      </c>
      <c r="H13" s="26">
        <f t="shared" si="0"/>
        <v>65494990.199999996</v>
      </c>
      <c r="I13" s="27">
        <f t="shared" si="1"/>
        <v>0</v>
      </c>
      <c r="J13" s="27">
        <f>Bilanca!I20</f>
        <v>181339455</v>
      </c>
      <c r="K13" s="27">
        <f>Bilanca!J20</f>
        <v>182226065</v>
      </c>
    </row>
    <row r="14" spans="1:11" ht="12.75">
      <c r="A14" s="4" t="s">
        <v>2885</v>
      </c>
      <c r="B14" s="25" t="str">
        <f>TRIM(RefStr!C37)</f>
        <v>www.vrelo.hr</v>
      </c>
      <c r="D14" s="4" t="s">
        <v>554</v>
      </c>
      <c r="E14" s="4">
        <v>1</v>
      </c>
      <c r="F14" s="4">
        <f>Bilanca!G21</f>
        <v>13</v>
      </c>
      <c r="G14" s="4">
        <f>IF(Bilanca!H21=0,"",Bilanca!H21)</f>
      </c>
      <c r="H14" s="26">
        <f t="shared" si="0"/>
        <v>1703490.62</v>
      </c>
      <c r="I14" s="27">
        <f t="shared" si="1"/>
        <v>0</v>
      </c>
      <c r="J14" s="27">
        <f>Bilanca!I21</f>
        <v>4542116</v>
      </c>
      <c r="K14" s="27">
        <f>Bilanca!J21</f>
        <v>4280829</v>
      </c>
    </row>
    <row r="15" spans="1:11" ht="12.75">
      <c r="A15" s="4" t="s">
        <v>2741</v>
      </c>
      <c r="B15" s="25" t="str">
        <f>TEXT(RefStr!J39,"00")</f>
        <v>08</v>
      </c>
      <c r="D15" s="4" t="s">
        <v>554</v>
      </c>
      <c r="E15" s="4">
        <v>1</v>
      </c>
      <c r="F15" s="4">
        <f>Bilanca!G22</f>
        <v>14</v>
      </c>
      <c r="G15" s="4">
        <f>IF(Bilanca!H22=0,"",Bilanca!H22)</f>
      </c>
      <c r="H15" s="26">
        <f t="shared" si="0"/>
        <v>171383.94</v>
      </c>
      <c r="I15" s="27">
        <f t="shared" si="1"/>
        <v>0</v>
      </c>
      <c r="J15" s="27">
        <f>Bilanca!I22</f>
        <v>321031</v>
      </c>
      <c r="K15" s="27">
        <f>Bilanca!J22</f>
        <v>451570</v>
      </c>
    </row>
    <row r="16" spans="1:11" ht="12.75">
      <c r="A16" s="4" t="s">
        <v>2740</v>
      </c>
      <c r="B16" s="25" t="str">
        <f>TEXT(RefStr!C39,"000")</f>
        <v>363</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3600</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7146922.91</v>
      </c>
      <c r="I18" s="27">
        <f t="shared" si="1"/>
        <v>0</v>
      </c>
      <c r="J18" s="27">
        <f>Bilanca!I25</f>
        <v>16686269</v>
      </c>
      <c r="K18" s="27">
        <f>Bilanca!J25</f>
        <v>12677227</v>
      </c>
    </row>
    <row r="19" spans="1:11" ht="12.75">
      <c r="A19" s="4" t="s">
        <v>2887</v>
      </c>
      <c r="B19" s="25" t="str">
        <f>IF(RefStr!I21&lt;&gt;"",RefStr!I21,"")</f>
        <v>DA</v>
      </c>
      <c r="D19" s="4" t="s">
        <v>554</v>
      </c>
      <c r="E19" s="4">
        <v>1</v>
      </c>
      <c r="F19" s="4">
        <f>Bilanca!G26</f>
        <v>18</v>
      </c>
      <c r="G19" s="4">
        <f>IF(Bilanca!H26=0,"",Bilanca!H26)</f>
      </c>
      <c r="H19" s="26">
        <f t="shared" si="0"/>
        <v>47077.92</v>
      </c>
      <c r="I19" s="27">
        <f t="shared" si="1"/>
        <v>0</v>
      </c>
      <c r="J19" s="27">
        <f>Bilanca!I26</f>
        <v>108258</v>
      </c>
      <c r="K19" s="27">
        <f>Bilanca!J26</f>
        <v>76643</v>
      </c>
    </row>
    <row r="20" spans="1:11" ht="12.75">
      <c r="A20" s="4" t="s">
        <v>2888</v>
      </c>
      <c r="B20" s="25">
        <f>RefStr!C19</f>
        <v>2</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1</v>
      </c>
      <c r="D21" s="4" t="s">
        <v>554</v>
      </c>
      <c r="E21" s="4">
        <v>1</v>
      </c>
      <c r="F21" s="4">
        <f>Bilanca!G28</f>
        <v>20</v>
      </c>
      <c r="G21" s="4">
        <f>IF(Bilanca!H28=0,"",Bilanca!H28)</f>
      </c>
      <c r="H21" s="26">
        <f t="shared" si="0"/>
        <v>9388.2</v>
      </c>
      <c r="I21" s="27">
        <f t="shared" si="1"/>
        <v>0</v>
      </c>
      <c r="J21" s="27">
        <f>Bilanca!I28</f>
        <v>15647</v>
      </c>
      <c r="K21" s="27">
        <f>Bilanca!J28</f>
        <v>15647</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50</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49</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50</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50</v>
      </c>
      <c r="D28" s="4" t="s">
        <v>554</v>
      </c>
      <c r="E28" s="4">
        <v>1</v>
      </c>
      <c r="F28" s="4">
        <f>Bilanca!G35</f>
        <v>27</v>
      </c>
      <c r="G28" s="4">
        <f>IF(Bilanca!H35=0,"",Bilanca!H35)</f>
      </c>
      <c r="H28" s="26">
        <f t="shared" si="0"/>
        <v>12674.07</v>
      </c>
      <c r="I28" s="27">
        <f t="shared" si="1"/>
        <v>0</v>
      </c>
      <c r="J28" s="27">
        <f>Bilanca!I35</f>
        <v>15647</v>
      </c>
      <c r="K28" s="27">
        <f>Bilanca!J35</f>
        <v>15647</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4508.639999999999</v>
      </c>
      <c r="I32" s="27">
        <f t="shared" si="1"/>
        <v>0</v>
      </c>
      <c r="J32" s="27">
        <f>Bilanca!I39</f>
        <v>6448</v>
      </c>
      <c r="K32" s="27">
        <f>Bilanca!J39</f>
        <v>4048</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5090.4</v>
      </c>
      <c r="I36" s="27">
        <f t="shared" si="1"/>
        <v>0</v>
      </c>
      <c r="J36" s="27">
        <f>Bilanca!I43</f>
        <v>6448</v>
      </c>
      <c r="K36" s="27">
        <f>Bilanca!J43</f>
        <v>4048</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5843760.76</v>
      </c>
      <c r="I38" s="27">
        <f t="shared" si="1"/>
        <v>0</v>
      </c>
      <c r="J38" s="27">
        <f>Bilanca!I45</f>
        <v>6038622</v>
      </c>
      <c r="K38" s="27">
        <f>Bilanca!J45</f>
        <v>4877663</v>
      </c>
    </row>
    <row r="39" spans="1:11" ht="12.75">
      <c r="A39" s="4" t="s">
        <v>1611</v>
      </c>
      <c r="B39" s="25" t="str">
        <f>RefStr!C68</f>
        <v>Marija Perkić</v>
      </c>
      <c r="D39" s="4" t="s">
        <v>554</v>
      </c>
      <c r="E39" s="4">
        <v>1</v>
      </c>
      <c r="F39" s="4">
        <f>Bilanca!G46</f>
        <v>38</v>
      </c>
      <c r="G39" s="4">
        <f>IF(Bilanca!H46=0,"",Bilanca!H46)</f>
      </c>
      <c r="H39" s="26">
        <f t="shared" si="0"/>
        <v>743916.88</v>
      </c>
      <c r="I39" s="27">
        <f t="shared" si="1"/>
        <v>0</v>
      </c>
      <c r="J39" s="27">
        <f>Bilanca!I46</f>
        <v>731336</v>
      </c>
      <c r="K39" s="27">
        <f>Bilanca!J46</f>
        <v>613170</v>
      </c>
    </row>
    <row r="40" spans="1:11" ht="12.75">
      <c r="A40" s="4" t="s">
        <v>1612</v>
      </c>
      <c r="B40" s="25" t="str">
        <f>TRIM(RefStr!C70)</f>
        <v>051 724 031</v>
      </c>
      <c r="D40" s="4" t="s">
        <v>554</v>
      </c>
      <c r="E40" s="4">
        <v>1</v>
      </c>
      <c r="F40" s="4">
        <f>Bilanca!G47</f>
        <v>39</v>
      </c>
      <c r="G40" s="4">
        <f>IF(Bilanca!H47=0,"",Bilanca!H47)</f>
      </c>
      <c r="H40" s="26">
        <f t="shared" si="0"/>
        <v>763493.6399999999</v>
      </c>
      <c r="I40" s="27">
        <f t="shared" si="1"/>
        <v>0</v>
      </c>
      <c r="J40" s="27">
        <f>Bilanca!I47</f>
        <v>731336</v>
      </c>
      <c r="K40" s="27">
        <f>Bilanca!J47</f>
        <v>613170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mperkic@vrelo.hr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Ivan Lušić</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20210101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20211231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4599289.3</v>
      </c>
      <c r="I47" s="27">
        <f t="shared" si="3"/>
        <v>0</v>
      </c>
      <c r="J47" s="27">
        <f>Bilanca!I54</f>
        <v>3651217</v>
      </c>
      <c r="K47" s="27">
        <f>Bilanca!J54</f>
        <v>3173619</v>
      </c>
    </row>
    <row r="48" spans="1:11" ht="12.75">
      <c r="A48" s="4" t="s">
        <v>2226</v>
      </c>
      <c r="B48" s="25" t="str">
        <f>RefStr!I54</f>
        <v>NE</v>
      </c>
      <c r="D48" s="4" t="s">
        <v>554</v>
      </c>
      <c r="E48" s="4">
        <v>1</v>
      </c>
      <c r="F48" s="4">
        <f>Bilanca!G55</f>
        <v>47</v>
      </c>
      <c r="G48" s="4">
        <f>IF(Bilanca!H55=0,"",Bilanca!H55)</f>
      </c>
      <c r="H48" s="26">
        <f t="shared" si="2"/>
        <v>521512.47</v>
      </c>
      <c r="I48" s="27">
        <f t="shared" si="3"/>
        <v>0</v>
      </c>
      <c r="J48" s="27">
        <f>Bilanca!I55</f>
        <v>393703</v>
      </c>
      <c r="K48" s="27">
        <f>Bilanca!J55</f>
        <v>357949</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3102963.2199999997</v>
      </c>
      <c r="I50" s="27">
        <f t="shared" si="3"/>
        <v>0</v>
      </c>
      <c r="J50" s="27">
        <f>Bilanca!I57</f>
        <v>2470012</v>
      </c>
      <c r="K50" s="27">
        <f>Bilanca!J57</f>
        <v>1931283</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1197752.85</v>
      </c>
      <c r="I52" s="27">
        <f t="shared" si="3"/>
        <v>0</v>
      </c>
      <c r="J52" s="27">
        <f>Bilanca!I59</f>
        <v>727933</v>
      </c>
      <c r="K52" s="27">
        <f>Bilanca!J59</f>
        <v>810301</v>
      </c>
    </row>
    <row r="53" spans="1:11" ht="12.75">
      <c r="A53" s="4" t="s">
        <v>1301</v>
      </c>
      <c r="B53" s="25" t="str">
        <f>RefStr!I56</f>
        <v>DA</v>
      </c>
      <c r="D53" s="4" t="s">
        <v>554</v>
      </c>
      <c r="E53" s="4">
        <v>1</v>
      </c>
      <c r="F53" s="4">
        <f>Bilanca!G60</f>
        <v>52</v>
      </c>
      <c r="G53" s="4">
        <f>IF(Bilanca!H60=0,"",Bilanca!H60)</f>
      </c>
      <c r="H53" s="26">
        <f t="shared" si="2"/>
        <v>108025.32</v>
      </c>
      <c r="I53" s="27">
        <f t="shared" si="3"/>
        <v>0</v>
      </c>
      <c r="J53" s="27">
        <f>Bilanca!I60</f>
        <v>59569</v>
      </c>
      <c r="K53" s="27">
        <f>Bilanca!J60</f>
        <v>74086</v>
      </c>
    </row>
    <row r="54" spans="1:11" ht="12.75">
      <c r="A54" s="4" t="s">
        <v>1302</v>
      </c>
      <c r="B54" s="25" t="str">
        <f>RefStr!I62</f>
        <v>DA</v>
      </c>
      <c r="D54" s="4" t="s">
        <v>554</v>
      </c>
      <c r="E54" s="4">
        <v>1</v>
      </c>
      <c r="F54" s="4">
        <f>Bilanca!G61</f>
        <v>53</v>
      </c>
      <c r="G54" s="4">
        <f>IF(Bilanca!H61=0,"",Bilanca!H61)</f>
      </c>
      <c r="H54" s="26">
        <f t="shared" si="2"/>
        <v>1590</v>
      </c>
      <c r="I54" s="27">
        <f t="shared" si="3"/>
        <v>0</v>
      </c>
      <c r="J54" s="27">
        <f>Bilanca!I61</f>
        <v>3000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3692603283.540001</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1830</v>
      </c>
      <c r="I62" s="27">
        <f t="shared" si="3"/>
        <v>0</v>
      </c>
      <c r="J62" s="27">
        <f>Bilanca!I69</f>
        <v>3000</v>
      </c>
      <c r="K62" s="27">
        <f>Bilanca!J69</f>
        <v>0</v>
      </c>
    </row>
    <row r="63" spans="1:11" ht="12.75">
      <c r="A63" s="4" t="s">
        <v>614</v>
      </c>
      <c r="B63" s="25" t="str">
        <f>IF(ISNUMBER(VALUE(RefStr!L21)),TEXT(INT(VALUE(RefStr!L21)),"00000000000"),"")</f>
        <v>39806187636</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2415934.71</v>
      </c>
      <c r="I64" s="27">
        <f t="shared" si="3"/>
        <v>0</v>
      </c>
      <c r="J64" s="27">
        <f>Bilanca!I71</f>
        <v>1653069</v>
      </c>
      <c r="K64" s="27">
        <f>Bilanca!J71</f>
        <v>1090874</v>
      </c>
    </row>
    <row r="65" spans="1:11" ht="12.75">
      <c r="A65" s="4" t="s">
        <v>923</v>
      </c>
      <c r="B65" s="25" t="str">
        <f>TRIM(RefStr!N19)</f>
        <v>HSFI</v>
      </c>
      <c r="D65" s="4" t="s">
        <v>554</v>
      </c>
      <c r="E65" s="4">
        <v>1</v>
      </c>
      <c r="F65" s="4">
        <f>Bilanca!G72</f>
        <v>64</v>
      </c>
      <c r="G65" s="4">
        <f>IF(Bilanca!H72=0,"",Bilanca!H72)</f>
      </c>
      <c r="H65" s="26">
        <f t="shared" si="2"/>
        <v>1037.44</v>
      </c>
      <c r="I65" s="27">
        <f t="shared" si="3"/>
        <v>0</v>
      </c>
      <c r="J65" s="27">
        <f>Bilanca!I72</f>
        <v>1621</v>
      </c>
      <c r="K65" s="27">
        <f>Bilanca!J72</f>
        <v>0</v>
      </c>
    </row>
    <row r="66" spans="1:11" ht="12.75">
      <c r="A66" s="4" t="s">
        <v>924</v>
      </c>
      <c r="B66" s="25">
        <f>RefStr!C23</f>
        <v>1</v>
      </c>
      <c r="D66" s="4" t="s">
        <v>554</v>
      </c>
      <c r="E66" s="4">
        <v>1</v>
      </c>
      <c r="F66" s="4">
        <f>Bilanca!G73</f>
        <v>65</v>
      </c>
      <c r="G66" s="4">
        <f>IF(Bilanca!H73=0,"",Bilanca!H73)</f>
      </c>
      <c r="H66" s="26">
        <f t="shared" si="2"/>
        <v>405376606.70000005</v>
      </c>
      <c r="I66" s="27">
        <f t="shared" si="3"/>
        <v>0</v>
      </c>
      <c r="J66" s="27">
        <f>Bilanca!I73</f>
        <v>210851956</v>
      </c>
      <c r="K66" s="27">
        <f>Bilanca!J73</f>
        <v>206402181</v>
      </c>
    </row>
    <row r="67" spans="1:11" ht="12.75">
      <c r="A67" s="4" t="s">
        <v>925</v>
      </c>
      <c r="B67" s="25" t="str">
        <f>TRIM(RefStr!L35)</f>
        <v>051724031</v>
      </c>
      <c r="D67" s="4" t="s">
        <v>554</v>
      </c>
      <c r="E67" s="4">
        <v>1</v>
      </c>
      <c r="F67" s="4">
        <f>Bilanca!G74</f>
        <v>66</v>
      </c>
      <c r="G67" s="4">
        <f>IF(Bilanca!H74=0,"",Bilanca!H74)</f>
      </c>
      <c r="H67" s="26">
        <f t="shared" si="2"/>
        <v>58159732.62</v>
      </c>
      <c r="I67" s="27">
        <f t="shared" si="3"/>
        <v>0</v>
      </c>
      <c r="J67" s="27">
        <f>Bilanca!I74</f>
        <v>29740269</v>
      </c>
      <c r="K67" s="27">
        <f>Bilanca!J74</f>
        <v>29190269</v>
      </c>
    </row>
    <row r="68" spans="1:11" ht="12.75">
      <c r="A68" s="4" t="s">
        <v>926</v>
      </c>
      <c r="B68" s="25">
        <f>RefStr!C44</f>
        <v>2</v>
      </c>
      <c r="D68" s="4" t="s">
        <v>554</v>
      </c>
      <c r="E68" s="4">
        <v>1</v>
      </c>
      <c r="F68" s="4">
        <f>Bilanca!G76</f>
        <v>67</v>
      </c>
      <c r="G68" s="4">
        <f>IF(Bilanca!H76=0,"",Bilanca!H76)</f>
      </c>
      <c r="H68" s="26">
        <f t="shared" si="2"/>
        <v>54483723.97</v>
      </c>
      <c r="I68" s="27">
        <f t="shared" si="3"/>
        <v>0</v>
      </c>
      <c r="J68" s="27">
        <f>Bilanca!I76</f>
        <v>27088315</v>
      </c>
      <c r="K68" s="27">
        <f>Bilanca!J76</f>
        <v>27115338</v>
      </c>
    </row>
    <row r="69" spans="1:11" ht="12.75">
      <c r="A69" s="4" t="s">
        <v>927</v>
      </c>
      <c r="B69" s="25" t="str">
        <f>TRIM(RefStr!M46)</f>
        <v>0578622</v>
      </c>
      <c r="D69" s="4" t="s">
        <v>554</v>
      </c>
      <c r="E69" s="4">
        <v>1</v>
      </c>
      <c r="F69" s="4">
        <f>Bilanca!G77</f>
        <v>68</v>
      </c>
      <c r="G69" s="4">
        <f>IF(Bilanca!H77=0,"",Bilanca!H77)</f>
      </c>
      <c r="H69" s="26">
        <f t="shared" si="2"/>
        <v>42995856</v>
      </c>
      <c r="I69" s="27">
        <f t="shared" si="3"/>
        <v>0</v>
      </c>
      <c r="J69" s="27">
        <f>Bilanca!I77</f>
        <v>21076400</v>
      </c>
      <c r="K69" s="27">
        <f>Bilanca!J77</f>
        <v>21076400</v>
      </c>
    </row>
    <row r="70" spans="1:11" ht="12.75">
      <c r="A70" s="4" t="s">
        <v>928</v>
      </c>
      <c r="B70" s="25">
        <f>RefStr!C46</f>
        <v>0</v>
      </c>
      <c r="D70" s="4" t="s">
        <v>554</v>
      </c>
      <c r="E70" s="4">
        <v>1</v>
      </c>
      <c r="F70" s="4">
        <f>Bilanca!G78</f>
        <v>69</v>
      </c>
      <c r="G70" s="4">
        <f>IF(Bilanca!H78=0,"",Bilanca!H78)</f>
      </c>
      <c r="H70" s="26">
        <f t="shared" si="2"/>
        <v>11153963.16</v>
      </c>
      <c r="I70" s="27">
        <f t="shared" si="3"/>
        <v>0</v>
      </c>
      <c r="J70" s="27">
        <f>Bilanca!I78</f>
        <v>5388388</v>
      </c>
      <c r="K70" s="27">
        <f>Bilanca!J78</f>
        <v>5388388</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941.64</v>
      </c>
      <c r="I77" s="27">
        <f t="shared" si="3"/>
        <v>0</v>
      </c>
      <c r="J77" s="27">
        <f>Bilanca!I85</f>
        <v>413</v>
      </c>
      <c r="K77" s="27">
        <f>Bilanca!J85</f>
        <v>413</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1544832.52</v>
      </c>
      <c r="I84" s="27">
        <f t="shared" si="3"/>
        <v>0</v>
      </c>
      <c r="J84" s="27">
        <f>Bilanca!I92</f>
        <v>615016</v>
      </c>
      <c r="K84" s="27">
        <f>Bilanca!J92</f>
        <v>623114</v>
      </c>
    </row>
    <row r="85" spans="4:11" ht="12.75">
      <c r="D85" s="4" t="s">
        <v>554</v>
      </c>
      <c r="E85" s="4">
        <v>1</v>
      </c>
      <c r="F85" s="4">
        <f>Bilanca!G93</f>
        <v>84</v>
      </c>
      <c r="G85" s="4">
        <f>IF(Bilanca!H93=0,"",Bilanca!H93)</f>
      </c>
      <c r="H85" s="26">
        <f t="shared" si="2"/>
        <v>1563444.96</v>
      </c>
      <c r="I85" s="27">
        <f t="shared" si="3"/>
        <v>0</v>
      </c>
      <c r="J85" s="27">
        <f>Bilanca!I93</f>
        <v>615016</v>
      </c>
      <c r="K85" s="27">
        <f>Bilanca!J93</f>
        <v>623114</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53443.840000000004</v>
      </c>
      <c r="I87" s="27">
        <f>ABS(ROUND(J87,0)-J87)+ABS(ROUND(K87,0)-K87)</f>
        <v>0</v>
      </c>
      <c r="J87" s="27">
        <f>Bilanca!I95</f>
        <v>8098</v>
      </c>
      <c r="K87" s="27">
        <f>Bilanca!J95</f>
        <v>27023</v>
      </c>
    </row>
    <row r="88" spans="4:11" ht="12.75">
      <c r="D88" s="4" t="s">
        <v>554</v>
      </c>
      <c r="E88" s="4">
        <v>1</v>
      </c>
      <c r="F88" s="4">
        <f>Bilanca!G96</f>
        <v>87</v>
      </c>
      <c r="G88" s="4">
        <f>IF(Bilanca!H96=0,"",Bilanca!H96)</f>
      </c>
      <c r="H88" s="26">
        <f>J88/100*F88+2*K88/100*F88</f>
        <v>54065.280000000006</v>
      </c>
      <c r="I88" s="27">
        <f>ABS(ROUND(J88,0)-J88)+ABS(ROUND(K88,0)-K88)</f>
        <v>0</v>
      </c>
      <c r="J88" s="27">
        <f>Bilanca!I96</f>
        <v>8098</v>
      </c>
      <c r="K88" s="27">
        <f>Bilanca!J96</f>
        <v>27023</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908748</v>
      </c>
      <c r="I91" s="27">
        <f t="shared" si="5"/>
        <v>0</v>
      </c>
      <c r="J91" s="27">
        <f>Bilanca!I99</f>
        <v>352230</v>
      </c>
      <c r="K91" s="27">
        <f>Bilanca!J99</f>
        <v>328745</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936013.3799999999</v>
      </c>
      <c r="I94" s="27">
        <f t="shared" si="5"/>
        <v>0</v>
      </c>
      <c r="J94" s="27">
        <f>Bilanca!I102</f>
        <v>348976</v>
      </c>
      <c r="K94" s="27">
        <f>Bilanca!J102</f>
        <v>328745</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3123.84</v>
      </c>
      <c r="I97" s="27">
        <f t="shared" si="5"/>
        <v>0</v>
      </c>
      <c r="J97" s="27">
        <f>Bilanca!I105</f>
        <v>3254</v>
      </c>
      <c r="K97" s="27">
        <f>Bilanca!J105</f>
        <v>0</v>
      </c>
    </row>
    <row r="98" spans="4:11" ht="12.75">
      <c r="D98" s="4" t="s">
        <v>554</v>
      </c>
      <c r="E98" s="4">
        <v>1</v>
      </c>
      <c r="F98" s="4">
        <f>Bilanca!G106</f>
        <v>97</v>
      </c>
      <c r="G98" s="4">
        <f>IF(Bilanca!H106=0,"",Bilanca!H106)</f>
      </c>
      <c r="H98" s="26">
        <f t="shared" si="4"/>
        <v>10220178.99</v>
      </c>
      <c r="I98" s="27">
        <f t="shared" si="5"/>
        <v>0</v>
      </c>
      <c r="J98" s="27">
        <f>Bilanca!I106</f>
        <v>5476967</v>
      </c>
      <c r="K98" s="27">
        <f>Bilanca!J106</f>
        <v>2529650</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10438731.780000001</v>
      </c>
      <c r="I102" s="27">
        <f t="shared" si="5"/>
        <v>0</v>
      </c>
      <c r="J102" s="27">
        <f>Bilanca!I110</f>
        <v>5410004</v>
      </c>
      <c r="K102" s="27">
        <f>Bilanca!J110</f>
        <v>2462687</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0</v>
      </c>
      <c r="I104" s="27">
        <f t="shared" si="5"/>
        <v>0</v>
      </c>
      <c r="J104" s="27">
        <f>Bilanca!I112</f>
        <v>0</v>
      </c>
      <c r="K104" s="27">
        <f>Bilanca!J112</f>
        <v>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214951.23</v>
      </c>
      <c r="I108" s="27">
        <f t="shared" si="5"/>
        <v>0</v>
      </c>
      <c r="J108" s="27">
        <f>Bilanca!I116</f>
        <v>66963</v>
      </c>
      <c r="K108" s="27">
        <f>Bilanca!J116</f>
        <v>66963</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23761989.1</v>
      </c>
      <c r="I110" s="27">
        <f t="shared" si="5"/>
        <v>0</v>
      </c>
      <c r="J110" s="27">
        <f>Bilanca!I118</f>
        <v>8076158</v>
      </c>
      <c r="K110" s="27">
        <f>Bilanca!J118</f>
        <v>6861916</v>
      </c>
    </row>
    <row r="111" spans="4:11" ht="12.75">
      <c r="D111" s="4" t="s">
        <v>554</v>
      </c>
      <c r="E111" s="4">
        <v>1</v>
      </c>
      <c r="F111" s="4">
        <f>Bilanca!G119</f>
        <v>110</v>
      </c>
      <c r="G111" s="4">
        <f>IF(Bilanca!H119=0,"",Bilanca!H119)</f>
      </c>
      <c r="H111" s="26">
        <f t="shared" si="4"/>
        <v>12722.599999999999</v>
      </c>
      <c r="I111" s="27">
        <f t="shared" si="5"/>
        <v>0</v>
      </c>
      <c r="J111" s="27">
        <f>Bilanca!I119</f>
        <v>2702</v>
      </c>
      <c r="K111" s="27">
        <f>Bilanca!J119</f>
        <v>4432</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10190807.7</v>
      </c>
      <c r="I115" s="27">
        <f t="shared" si="5"/>
        <v>0</v>
      </c>
      <c r="J115" s="27">
        <f>Bilanca!I123</f>
        <v>3139305</v>
      </c>
      <c r="K115" s="27">
        <f>Bilanca!J123</f>
        <v>2900000</v>
      </c>
    </row>
    <row r="116" spans="4:11" ht="12.75">
      <c r="D116" s="4" t="s">
        <v>554</v>
      </c>
      <c r="E116" s="4">
        <v>1</v>
      </c>
      <c r="F116" s="4">
        <f>Bilanca!G124</f>
        <v>115</v>
      </c>
      <c r="G116" s="4">
        <f>IF(Bilanca!H124=0,"",Bilanca!H124)</f>
      </c>
      <c r="H116" s="26">
        <f t="shared" si="4"/>
        <v>654465</v>
      </c>
      <c r="I116" s="27">
        <f t="shared" si="5"/>
        <v>0</v>
      </c>
      <c r="J116" s="27">
        <f>Bilanca!I124</f>
        <v>423818</v>
      </c>
      <c r="K116" s="27">
        <f>Bilanca!J124</f>
        <v>72641</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5321860.83</v>
      </c>
      <c r="I118" s="27">
        <f t="shared" si="5"/>
        <v>0</v>
      </c>
      <c r="J118" s="27">
        <f>Bilanca!I126</f>
        <v>1986937</v>
      </c>
      <c r="K118" s="27">
        <f>Bilanca!J126</f>
        <v>1280831</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1159738.2999999998</v>
      </c>
      <c r="I120" s="27">
        <f t="shared" si="5"/>
        <v>0</v>
      </c>
      <c r="J120" s="27">
        <f>Bilanca!I128</f>
        <v>310900</v>
      </c>
      <c r="K120" s="27">
        <f>Bilanca!J128</f>
        <v>331835</v>
      </c>
    </row>
    <row r="121" spans="4:11" ht="12.75">
      <c r="D121" s="4" t="s">
        <v>554</v>
      </c>
      <c r="E121" s="4">
        <v>1</v>
      </c>
      <c r="F121" s="4">
        <f>Bilanca!G129</f>
        <v>120</v>
      </c>
      <c r="G121" s="4">
        <f>IF(Bilanca!H129=0,"",Bilanca!H129)</f>
      </c>
      <c r="H121" s="26">
        <f t="shared" si="4"/>
        <v>7946352</v>
      </c>
      <c r="I121" s="27">
        <f t="shared" si="5"/>
        <v>0</v>
      </c>
      <c r="J121" s="27">
        <f>Bilanca!I129</f>
        <v>2182786</v>
      </c>
      <c r="K121" s="27">
        <f>Bilanca!J129</f>
        <v>2219587</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165914.7</v>
      </c>
      <c r="I124" s="27">
        <f t="shared" si="5"/>
        <v>0</v>
      </c>
      <c r="J124" s="27">
        <f>Bilanca!I132</f>
        <v>29710</v>
      </c>
      <c r="K124" s="27">
        <f>Bilanca!J132</f>
        <v>52590</v>
      </c>
    </row>
    <row r="125" spans="4:11" ht="12.75">
      <c r="D125" s="4" t="s">
        <v>554</v>
      </c>
      <c r="E125" s="4">
        <v>1</v>
      </c>
      <c r="F125" s="4">
        <f>Bilanca!G133</f>
        <v>124</v>
      </c>
      <c r="G125" s="4">
        <f>IF(Bilanca!H133=0,"",Bilanca!H133)</f>
      </c>
      <c r="H125" s="26">
        <f t="shared" si="4"/>
        <v>631149274</v>
      </c>
      <c r="I125" s="27">
        <f t="shared" si="5"/>
        <v>0</v>
      </c>
      <c r="J125" s="27">
        <f>Bilanca!I133</f>
        <v>169858286</v>
      </c>
      <c r="K125" s="27">
        <f>Bilanca!J133</f>
        <v>169566532</v>
      </c>
    </row>
    <row r="126" spans="4:11" ht="12.75">
      <c r="D126" s="4" t="s">
        <v>554</v>
      </c>
      <c r="E126" s="4">
        <v>1</v>
      </c>
      <c r="F126" s="4">
        <f>Bilanca!G134</f>
        <v>125</v>
      </c>
      <c r="G126" s="4">
        <f>IF(Bilanca!H134=0,"",Bilanca!H134)</f>
      </c>
      <c r="H126" s="26">
        <f t="shared" si="4"/>
        <v>779570397.5</v>
      </c>
      <c r="I126" s="27">
        <f t="shared" si="5"/>
        <v>0</v>
      </c>
      <c r="J126" s="27">
        <f>Bilanca!I134</f>
        <v>210851956</v>
      </c>
      <c r="K126" s="27">
        <f>Bilanca!J134</f>
        <v>206402181</v>
      </c>
    </row>
    <row r="127" spans="4:11" ht="12.75">
      <c r="D127" s="4" t="s">
        <v>554</v>
      </c>
      <c r="E127" s="4">
        <v>1</v>
      </c>
      <c r="F127" s="4">
        <f>Bilanca!G135</f>
        <v>126</v>
      </c>
      <c r="G127" s="4">
        <f>IF(Bilanca!H135=0,"",Bilanca!H135)</f>
      </c>
      <c r="H127" s="26">
        <f t="shared" si="4"/>
        <v>111032216.82</v>
      </c>
      <c r="I127" s="27">
        <f t="shared" si="5"/>
        <v>0</v>
      </c>
      <c r="J127" s="27">
        <f>Bilanca!I135</f>
        <v>29740269</v>
      </c>
      <c r="K127" s="27">
        <f>Bilanca!J135</f>
        <v>29190269</v>
      </c>
    </row>
    <row r="128" spans="4:11" ht="12.75">
      <c r="D128" s="4" t="s">
        <v>794</v>
      </c>
      <c r="E128" s="4">
        <v>2</v>
      </c>
      <c r="F128" s="4">
        <f>RDG!G8</f>
        <v>127</v>
      </c>
      <c r="G128" s="4">
        <f>IF(RDG!H8=0,"",RDG!H8)</f>
      </c>
      <c r="H128" s="26">
        <f t="shared" si="4"/>
        <v>76855711.16</v>
      </c>
      <c r="I128" s="4">
        <f t="shared" si="5"/>
        <v>0</v>
      </c>
      <c r="J128" s="27">
        <f>RDG!I8</f>
        <v>19366372</v>
      </c>
      <c r="K128" s="27">
        <f>RDG!J8</f>
        <v>20574968</v>
      </c>
    </row>
    <row r="129" spans="4:11" ht="12.75">
      <c r="D129" s="4" t="s">
        <v>794</v>
      </c>
      <c r="E129" s="4">
        <v>2</v>
      </c>
      <c r="F129" s="4">
        <f>RDG!G9</f>
        <v>128</v>
      </c>
      <c r="G129" s="4">
        <f>IF(RDG!H9=0,"",RDG!H9)</f>
      </c>
      <c r="H129" s="26">
        <f t="shared" si="4"/>
        <v>688935.68</v>
      </c>
      <c r="I129" s="4">
        <f t="shared" si="5"/>
        <v>0</v>
      </c>
      <c r="J129" s="27">
        <f>RDG!I9</f>
        <v>165897</v>
      </c>
      <c r="K129" s="27">
        <f>RDG!J9</f>
        <v>186167</v>
      </c>
    </row>
    <row r="130" spans="4:11" ht="12.75">
      <c r="D130" s="4" t="s">
        <v>794</v>
      </c>
      <c r="E130" s="4">
        <v>2</v>
      </c>
      <c r="F130" s="4">
        <f>RDG!G10</f>
        <v>129</v>
      </c>
      <c r="G130" s="4">
        <f>IF(RDG!H10=0,"",RDG!H10)</f>
      </c>
      <c r="H130" s="26">
        <f aca="true" t="shared" si="6" ref="H130:H192">J130/100*F130+2*K130/100*F130</f>
        <v>71017082.58000001</v>
      </c>
      <c r="I130" s="4">
        <f aca="true" t="shared" si="7" ref="I130:I192">ABS(ROUND(J130,0)-J130)+ABS(ROUND(K130,0)-K130)</f>
        <v>0</v>
      </c>
      <c r="J130" s="27">
        <f>RDG!I10</f>
        <v>17286532</v>
      </c>
      <c r="K130" s="27">
        <f>RDG!J10</f>
        <v>18882735</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6502419</v>
      </c>
      <c r="I133" s="4">
        <f t="shared" si="7"/>
        <v>0</v>
      </c>
      <c r="J133" s="27">
        <f>RDG!I13</f>
        <v>1913943</v>
      </c>
      <c r="K133" s="27">
        <f>RDG!J13</f>
        <v>1506066</v>
      </c>
    </row>
    <row r="134" spans="4:11" ht="12.75">
      <c r="D134" s="4" t="s">
        <v>794</v>
      </c>
      <c r="E134" s="4">
        <v>2</v>
      </c>
      <c r="F134" s="4">
        <f>RDG!G14</f>
        <v>133</v>
      </c>
      <c r="G134" s="4">
        <f>IF(RDG!H14=0,"",RDG!H14)</f>
      </c>
      <c r="H134" s="26">
        <f t="shared" si="6"/>
        <v>80631969.53</v>
      </c>
      <c r="I134" s="4">
        <f t="shared" si="7"/>
        <v>0</v>
      </c>
      <c r="J134" s="27">
        <f>RDG!I14</f>
        <v>19411615</v>
      </c>
      <c r="K134" s="27">
        <f>RDG!J14</f>
        <v>20606963</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28968163.65</v>
      </c>
      <c r="I136" s="4">
        <f t="shared" si="7"/>
        <v>0</v>
      </c>
      <c r="J136" s="27">
        <f>RDG!I16</f>
        <v>6673675</v>
      </c>
      <c r="K136" s="27">
        <f>RDG!J16</f>
        <v>7392112</v>
      </c>
    </row>
    <row r="137" spans="4:11" ht="12.75">
      <c r="D137" s="4" t="s">
        <v>794</v>
      </c>
      <c r="E137" s="4">
        <v>2</v>
      </c>
      <c r="F137" s="4">
        <f>RDG!G17</f>
        <v>136</v>
      </c>
      <c r="G137" s="4">
        <f>IF(RDG!H17=0,"",RDG!H17)</f>
      </c>
      <c r="H137" s="26">
        <f t="shared" si="6"/>
        <v>8731276.16</v>
      </c>
      <c r="I137" s="4">
        <f t="shared" si="7"/>
        <v>0</v>
      </c>
      <c r="J137" s="27">
        <f>RDG!I17</f>
        <v>1985380</v>
      </c>
      <c r="K137" s="27">
        <f>RDG!J17</f>
        <v>2217338</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20752223.34</v>
      </c>
      <c r="I139" s="4">
        <f t="shared" si="7"/>
        <v>0</v>
      </c>
      <c r="J139" s="27">
        <f>RDG!I19</f>
        <v>4688295</v>
      </c>
      <c r="K139" s="27">
        <f>RDG!J19</f>
        <v>5174774</v>
      </c>
    </row>
    <row r="140" spans="4:11" ht="12.75">
      <c r="D140" s="4" t="s">
        <v>794</v>
      </c>
      <c r="E140" s="4">
        <v>2</v>
      </c>
      <c r="F140" s="4">
        <f>RDG!G20</f>
        <v>139</v>
      </c>
      <c r="G140" s="4">
        <f>IF(RDG!H20=0,"",RDG!H20)</f>
      </c>
      <c r="H140" s="26">
        <f t="shared" si="6"/>
        <v>21278624.57</v>
      </c>
      <c r="I140" s="4">
        <f t="shared" si="7"/>
        <v>0</v>
      </c>
      <c r="J140" s="27">
        <f>RDG!I20</f>
        <v>4847729</v>
      </c>
      <c r="K140" s="27">
        <f>RDG!J20</f>
        <v>5230317</v>
      </c>
    </row>
    <row r="141" spans="4:11" ht="12.75">
      <c r="D141" s="4" t="s">
        <v>794</v>
      </c>
      <c r="E141" s="4">
        <v>2</v>
      </c>
      <c r="F141" s="4">
        <f>RDG!G21</f>
        <v>140</v>
      </c>
      <c r="G141" s="4">
        <f>IF(RDG!H21=0,"",RDG!H21)</f>
      </c>
      <c r="H141" s="26">
        <f t="shared" si="6"/>
        <v>14122183.599999998</v>
      </c>
      <c r="I141" s="4">
        <f t="shared" si="7"/>
        <v>0</v>
      </c>
      <c r="J141" s="27">
        <f>RDG!I21</f>
        <v>3203548</v>
      </c>
      <c r="K141" s="27">
        <f>RDG!J21</f>
        <v>3441863</v>
      </c>
    </row>
    <row r="142" spans="4:11" ht="12.75">
      <c r="D142" s="4" t="s">
        <v>794</v>
      </c>
      <c r="E142" s="4">
        <v>2</v>
      </c>
      <c r="F142" s="4">
        <f>RDG!G22</f>
        <v>141</v>
      </c>
      <c r="G142" s="4">
        <f>IF(RDG!H22=0,"",RDG!H22)</f>
      </c>
      <c r="H142" s="26">
        <f t="shared" si="6"/>
        <v>4426931.88</v>
      </c>
      <c r="I142" s="4">
        <f t="shared" si="7"/>
        <v>0</v>
      </c>
      <c r="J142" s="27">
        <f>RDG!I22</f>
        <v>992430</v>
      </c>
      <c r="K142" s="27">
        <f>RDG!J22</f>
        <v>1073619</v>
      </c>
    </row>
    <row r="143" spans="4:11" ht="12.75">
      <c r="D143" s="4" t="s">
        <v>794</v>
      </c>
      <c r="E143" s="4">
        <v>2</v>
      </c>
      <c r="F143" s="4">
        <f>RDG!G23</f>
        <v>142</v>
      </c>
      <c r="G143" s="4">
        <f>IF(RDG!H23=0,"",RDG!H23)</f>
      </c>
      <c r="H143" s="26">
        <f t="shared" si="6"/>
        <v>2955617.8200000003</v>
      </c>
      <c r="I143" s="4">
        <f t="shared" si="7"/>
        <v>0</v>
      </c>
      <c r="J143" s="27">
        <f>RDG!I23</f>
        <v>651751</v>
      </c>
      <c r="K143" s="27">
        <f>RDG!J23</f>
        <v>714835</v>
      </c>
    </row>
    <row r="144" spans="4:11" ht="12.75">
      <c r="D144" s="4" t="s">
        <v>794</v>
      </c>
      <c r="E144" s="4">
        <v>2</v>
      </c>
      <c r="F144" s="4">
        <f>RDG!G24</f>
        <v>143</v>
      </c>
      <c r="G144" s="4">
        <f>IF(RDG!H24=0,"",RDG!H24)</f>
      </c>
      <c r="H144" s="26">
        <f t="shared" si="6"/>
        <v>27840159.49</v>
      </c>
      <c r="I144" s="4">
        <f t="shared" si="7"/>
        <v>0</v>
      </c>
      <c r="J144" s="27">
        <f>RDG!I24</f>
        <v>6406151</v>
      </c>
      <c r="K144" s="27">
        <f>RDG!J24</f>
        <v>6531246</v>
      </c>
    </row>
    <row r="145" spans="4:11" ht="12.75">
      <c r="D145" s="4" t="s">
        <v>794</v>
      </c>
      <c r="E145" s="4">
        <v>2</v>
      </c>
      <c r="F145" s="4">
        <f>RDG!G25</f>
        <v>144</v>
      </c>
      <c r="G145" s="4">
        <f>IF(RDG!H25=0,"",RDG!H25)</f>
      </c>
      <c r="H145" s="26">
        <f t="shared" si="6"/>
        <v>4539978.720000001</v>
      </c>
      <c r="I145" s="4">
        <f t="shared" si="7"/>
        <v>0</v>
      </c>
      <c r="J145" s="27">
        <f>RDG!I25</f>
        <v>1070179</v>
      </c>
      <c r="K145" s="27">
        <f>RDG!J25</f>
        <v>1041292</v>
      </c>
    </row>
    <row r="146" spans="4:11" ht="12.75">
      <c r="D146" s="4" t="s">
        <v>794</v>
      </c>
      <c r="E146" s="4">
        <v>2</v>
      </c>
      <c r="F146" s="4">
        <f>RDG!G26</f>
        <v>145</v>
      </c>
      <c r="G146" s="4">
        <f>IF(RDG!H26=0,"",RDG!H26)</f>
      </c>
      <c r="H146" s="26">
        <f t="shared" si="6"/>
        <v>151458.30000000002</v>
      </c>
      <c r="I146" s="4">
        <f t="shared" si="7"/>
        <v>0</v>
      </c>
      <c r="J146" s="27">
        <f>RDG!I26</f>
        <v>976</v>
      </c>
      <c r="K146" s="27">
        <f>RDG!J26</f>
        <v>51739</v>
      </c>
    </row>
    <row r="147" spans="4:11" ht="12.75">
      <c r="D147" s="4" t="s">
        <v>794</v>
      </c>
      <c r="E147" s="4">
        <v>2</v>
      </c>
      <c r="F147" s="4">
        <f>RDG!G27</f>
        <v>146</v>
      </c>
      <c r="G147" s="4">
        <f>IF(RDG!H27=0,"",RDG!H27)</f>
      </c>
      <c r="H147" s="26">
        <f t="shared" si="6"/>
        <v>534.36</v>
      </c>
      <c r="I147" s="4">
        <f t="shared" si="7"/>
        <v>0</v>
      </c>
      <c r="J147" s="27">
        <f>RDG!I27</f>
        <v>0</v>
      </c>
      <c r="K147" s="27">
        <f>RDG!J27</f>
        <v>183</v>
      </c>
    </row>
    <row r="148" spans="4:11" ht="12.75">
      <c r="D148" s="4" t="s">
        <v>794</v>
      </c>
      <c r="E148" s="4">
        <v>2</v>
      </c>
      <c r="F148" s="4">
        <f>RDG!G28</f>
        <v>147</v>
      </c>
      <c r="G148" s="4">
        <f>IF(RDG!H28=0,"",RDG!H28)</f>
      </c>
      <c r="H148" s="26">
        <f t="shared" si="6"/>
        <v>153009.36</v>
      </c>
      <c r="I148" s="4">
        <f t="shared" si="7"/>
        <v>0</v>
      </c>
      <c r="J148" s="27">
        <f>RDG!I28</f>
        <v>976</v>
      </c>
      <c r="K148" s="27">
        <f>RDG!J28</f>
        <v>51556</v>
      </c>
    </row>
    <row r="149" spans="4:11" ht="12.75">
      <c r="D149" s="4" t="s">
        <v>794</v>
      </c>
      <c r="E149" s="4">
        <v>2</v>
      </c>
      <c r="F149" s="4">
        <f>RDG!G29</f>
        <v>148</v>
      </c>
      <c r="G149" s="4">
        <f>IF(RDG!H29=0,"",RDG!H29)</f>
      </c>
      <c r="H149" s="26">
        <f t="shared" si="6"/>
        <v>484800.64</v>
      </c>
      <c r="I149" s="4">
        <f t="shared" si="7"/>
        <v>0</v>
      </c>
      <c r="J149" s="27">
        <f>RDG!I29</f>
        <v>196430</v>
      </c>
      <c r="K149" s="27">
        <f>RDG!J29</f>
        <v>65569</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444414.14</v>
      </c>
      <c r="I152" s="4">
        <f t="shared" si="7"/>
        <v>0</v>
      </c>
      <c r="J152" s="27">
        <f>RDG!I32</f>
        <v>163176</v>
      </c>
      <c r="K152" s="27">
        <f>RDG!J32</f>
        <v>65569</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51211.16</v>
      </c>
      <c r="I155" s="4">
        <f t="shared" si="7"/>
        <v>0</v>
      </c>
      <c r="J155" s="27">
        <f>RDG!I35</f>
        <v>33254</v>
      </c>
      <c r="K155" s="27">
        <f>RDG!J35</f>
        <v>0</v>
      </c>
    </row>
    <row r="156" spans="4:11" ht="12.75">
      <c r="D156" s="4" t="s">
        <v>794</v>
      </c>
      <c r="E156" s="4">
        <v>2</v>
      </c>
      <c r="F156" s="4">
        <f>RDG!G36</f>
        <v>155</v>
      </c>
      <c r="G156" s="4">
        <f>IF(RDG!H36=0,"",RDG!H36)</f>
      </c>
      <c r="H156" s="26">
        <f t="shared" si="6"/>
        <v>1249069.05</v>
      </c>
      <c r="I156" s="4">
        <f t="shared" si="7"/>
        <v>0</v>
      </c>
      <c r="J156" s="27">
        <f>RDG!I36</f>
        <v>216475</v>
      </c>
      <c r="K156" s="27">
        <f>RDG!J36</f>
        <v>294688</v>
      </c>
    </row>
    <row r="157" spans="4:11" ht="12.75">
      <c r="D157" s="4" t="s">
        <v>794</v>
      </c>
      <c r="E157" s="4">
        <v>2</v>
      </c>
      <c r="F157" s="4">
        <f>RDG!G37</f>
        <v>156</v>
      </c>
      <c r="G157" s="4">
        <f>IF(RDG!H37=0,"",RDG!H37)</f>
      </c>
      <c r="H157" s="26">
        <f t="shared" si="6"/>
        <v>534480.96</v>
      </c>
      <c r="I157" s="4">
        <f t="shared" si="7"/>
        <v>0</v>
      </c>
      <c r="J157" s="27">
        <f>RDG!I37</f>
        <v>92262</v>
      </c>
      <c r="K157" s="27">
        <f>RDG!J37</f>
        <v>125177</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42001.600000000006</v>
      </c>
      <c r="I161" s="4">
        <f t="shared" si="7"/>
        <v>0</v>
      </c>
      <c r="J161" s="27">
        <f>RDG!I41</f>
        <v>3043</v>
      </c>
      <c r="K161" s="27">
        <f>RDG!J41</f>
        <v>11604</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514380.73</v>
      </c>
      <c r="I164" s="4">
        <f t="shared" si="7"/>
        <v>0</v>
      </c>
      <c r="J164" s="27">
        <f>RDG!I44</f>
        <v>89219</v>
      </c>
      <c r="K164" s="27">
        <f>RDG!J44</f>
        <v>113176</v>
      </c>
    </row>
    <row r="165" spans="4:11" ht="12.75">
      <c r="D165" s="4" t="s">
        <v>794</v>
      </c>
      <c r="E165" s="4">
        <v>2</v>
      </c>
      <c r="F165" s="4">
        <f>RDG!G45</f>
        <v>164</v>
      </c>
      <c r="G165" s="4">
        <f>IF(RDG!H45=0,"",RDG!H45)</f>
      </c>
      <c r="H165" s="26">
        <f t="shared" si="6"/>
        <v>1302.16</v>
      </c>
      <c r="I165" s="4">
        <f t="shared" si="7"/>
        <v>0</v>
      </c>
      <c r="J165" s="27">
        <f>RDG!I45</f>
        <v>0</v>
      </c>
      <c r="K165" s="27">
        <f>RDG!J45</f>
        <v>397</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219170.8</v>
      </c>
      <c r="I168" s="4">
        <f t="shared" si="7"/>
        <v>0</v>
      </c>
      <c r="J168" s="27">
        <f>RDG!I48</f>
        <v>30624</v>
      </c>
      <c r="K168" s="27">
        <f>RDG!J48</f>
        <v>50308</v>
      </c>
    </row>
    <row r="169" spans="4:11" ht="12.75">
      <c r="D169" s="4" t="s">
        <v>794</v>
      </c>
      <c r="E169" s="4">
        <v>2</v>
      </c>
      <c r="F169" s="4">
        <f>RDG!G49</f>
        <v>168</v>
      </c>
      <c r="G169" s="4">
        <f>IF(RDG!H49=0,"",RDG!H49)</f>
      </c>
      <c r="H169" s="26">
        <f t="shared" si="6"/>
        <v>167415.36</v>
      </c>
      <c r="I169" s="4">
        <f t="shared" si="7"/>
        <v>0</v>
      </c>
      <c r="J169" s="27">
        <f>RDG!I49</f>
        <v>27660</v>
      </c>
      <c r="K169" s="27">
        <f>RDG!J49</f>
        <v>35996</v>
      </c>
    </row>
    <row r="170" spans="4:11" ht="12.75">
      <c r="D170" s="4" t="s">
        <v>794</v>
      </c>
      <c r="E170" s="4">
        <v>2</v>
      </c>
      <c r="F170" s="4">
        <f>RDG!G50</f>
        <v>169</v>
      </c>
      <c r="G170" s="4">
        <f>IF(RDG!H50=0,"",RDG!H50)</f>
      </c>
      <c r="H170" s="26">
        <f t="shared" si="6"/>
        <v>19583.72</v>
      </c>
      <c r="I170" s="4">
        <f t="shared" si="7"/>
        <v>0</v>
      </c>
      <c r="J170" s="27">
        <f>RDG!I50</f>
        <v>2964</v>
      </c>
      <c r="K170" s="27">
        <f>RDG!J50</f>
        <v>4312</v>
      </c>
    </row>
    <row r="171" spans="4:11" ht="12.75">
      <c r="D171" s="4" t="s">
        <v>794</v>
      </c>
      <c r="E171" s="4">
        <v>2</v>
      </c>
      <c r="F171" s="4">
        <f>RDG!G51</f>
        <v>170</v>
      </c>
      <c r="G171" s="4">
        <f>IF(RDG!H51=0,"",RDG!H51)</f>
      </c>
      <c r="H171" s="26">
        <f t="shared" si="6"/>
        <v>0</v>
      </c>
      <c r="I171" s="4">
        <f t="shared" si="7"/>
        <v>0</v>
      </c>
      <c r="J171" s="27">
        <f>RDG!I51</f>
        <v>0</v>
      </c>
      <c r="K171" s="27">
        <f>RDG!J51</f>
        <v>0</v>
      </c>
    </row>
    <row r="172" spans="4:11" ht="12.75">
      <c r="D172" s="4" t="s">
        <v>794</v>
      </c>
      <c r="E172" s="4">
        <v>2</v>
      </c>
      <c r="F172" s="4">
        <f>RDG!G52</f>
        <v>171</v>
      </c>
      <c r="G172" s="4">
        <f>IF(RDG!H52=0,"",RDG!H52)</f>
      </c>
      <c r="H172" s="26">
        <f t="shared" si="6"/>
        <v>0</v>
      </c>
      <c r="I172" s="4">
        <f t="shared" si="7"/>
        <v>0</v>
      </c>
      <c r="J172" s="27">
        <f>RDG!I52</f>
        <v>0</v>
      </c>
      <c r="K172" s="27">
        <f>RDG!J52</f>
        <v>0</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34800</v>
      </c>
      <c r="I175" s="4">
        <f t="shared" si="7"/>
        <v>0</v>
      </c>
      <c r="J175" s="27">
        <f>RDG!I55</f>
        <v>0</v>
      </c>
      <c r="K175" s="27">
        <f>RDG!J55</f>
        <v>10000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108937473.96000001</v>
      </c>
      <c r="I180" s="4">
        <f t="shared" si="7"/>
        <v>0</v>
      </c>
      <c r="J180" s="27">
        <f>RDG!I60</f>
        <v>19458634</v>
      </c>
      <c r="K180" s="27">
        <f>RDG!J60</f>
        <v>20700145</v>
      </c>
    </row>
    <row r="181" spans="4:11" ht="12.75">
      <c r="D181" s="4" t="s">
        <v>794</v>
      </c>
      <c r="E181" s="4">
        <v>2</v>
      </c>
      <c r="F181" s="4">
        <f>RDG!G61</f>
        <v>180</v>
      </c>
      <c r="G181" s="4">
        <f>IF(RDG!H61=0,"",RDG!H61)</f>
      </c>
      <c r="H181" s="26">
        <f t="shared" si="6"/>
        <v>109362205.8</v>
      </c>
      <c r="I181" s="4">
        <f t="shared" si="7"/>
        <v>0</v>
      </c>
      <c r="J181" s="27">
        <f>RDG!I61</f>
        <v>19442239</v>
      </c>
      <c r="K181" s="27">
        <f>RDG!J61</f>
        <v>20657271</v>
      </c>
    </row>
    <row r="182" spans="4:11" ht="12.75">
      <c r="D182" s="4" t="s">
        <v>794</v>
      </c>
      <c r="E182" s="4">
        <v>2</v>
      </c>
      <c r="F182" s="4">
        <f>RDG!G62</f>
        <v>181</v>
      </c>
      <c r="G182" s="4">
        <f>IF(RDG!H62=0,"",RDG!H62)</f>
      </c>
      <c r="H182" s="26">
        <f t="shared" si="6"/>
        <v>184878.83000000002</v>
      </c>
      <c r="I182" s="4">
        <f t="shared" si="7"/>
        <v>0</v>
      </c>
      <c r="J182" s="27">
        <f>RDG!I62</f>
        <v>16395</v>
      </c>
      <c r="K182" s="27">
        <f>RDG!J62</f>
        <v>42874</v>
      </c>
    </row>
    <row r="183" spans="4:11" ht="12.75">
      <c r="D183" s="4" t="s">
        <v>794</v>
      </c>
      <c r="E183" s="4">
        <v>2</v>
      </c>
      <c r="F183" s="4">
        <f>RDG!G63</f>
        <v>182</v>
      </c>
      <c r="G183" s="4">
        <f>IF(RDG!H63=0,"",RDG!H63)</f>
      </c>
      <c r="H183" s="26">
        <f t="shared" si="6"/>
        <v>185900.26</v>
      </c>
      <c r="I183" s="4">
        <f t="shared" si="7"/>
        <v>0</v>
      </c>
      <c r="J183" s="27">
        <f>RDG!I63</f>
        <v>16395</v>
      </c>
      <c r="K183" s="27">
        <f>RDG!J63</f>
        <v>42874</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73598.15999999999</v>
      </c>
      <c r="I185" s="4">
        <f t="shared" si="7"/>
        <v>0</v>
      </c>
      <c r="J185" s="27">
        <f>RDG!I65</f>
        <v>8297</v>
      </c>
      <c r="K185" s="27">
        <f>RDG!J65</f>
        <v>15851</v>
      </c>
    </row>
    <row r="186" spans="4:11" ht="12.75">
      <c r="D186" s="4" t="s">
        <v>794</v>
      </c>
      <c r="E186" s="4">
        <v>2</v>
      </c>
      <c r="F186" s="4">
        <f>RDG!G66</f>
        <v>185</v>
      </c>
      <c r="G186" s="4">
        <f>IF(RDG!H66=0,"",RDG!H66)</f>
      </c>
      <c r="H186" s="26">
        <f t="shared" si="6"/>
        <v>114966.40000000001</v>
      </c>
      <c r="I186" s="4">
        <f t="shared" si="7"/>
        <v>0</v>
      </c>
      <c r="J186" s="27">
        <f>RDG!I66</f>
        <v>8098</v>
      </c>
      <c r="K186" s="27">
        <f>RDG!J66</f>
        <v>27023</v>
      </c>
    </row>
    <row r="187" spans="4:11" ht="12.75">
      <c r="D187" s="4" t="s">
        <v>794</v>
      </c>
      <c r="E187" s="4">
        <v>2</v>
      </c>
      <c r="F187" s="4">
        <f>RDG!G67</f>
        <v>186</v>
      </c>
      <c r="G187" s="4">
        <f>IF(RDG!H67=0,"",RDG!H67)</f>
      </c>
      <c r="H187" s="26">
        <f t="shared" si="6"/>
        <v>115587.84000000001</v>
      </c>
      <c r="I187" s="4">
        <f t="shared" si="7"/>
        <v>0</v>
      </c>
      <c r="J187" s="27">
        <f>RDG!I67</f>
        <v>8098</v>
      </c>
      <c r="K187" s="27">
        <f>RDG!J67</f>
        <v>27023</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0" activePane="bottomLeft" state="frozen"/>
      <selection pane="topLeft" activeCell="A2" sqref="A2"/>
      <selection pane="bottomLeft" activeCell="C76" sqref="C76:J76"/>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DA</v>
      </c>
      <c r="V2" s="204" t="s">
        <v>1562</v>
      </c>
      <c r="W2" s="223" t="str">
        <f>RefStr!C29</f>
        <v>Vrelo d.o.o.</v>
      </c>
      <c r="X2" s="204" t="s">
        <v>1769</v>
      </c>
      <c r="Y2" s="223">
        <f>IF(RefStr!C54&lt;&gt;"",RefStr!C54,"")</f>
        <v>100</v>
      </c>
      <c r="Z2" s="204" t="s">
        <v>441</v>
      </c>
      <c r="AA2" s="223">
        <f>IF(RefStr!B64="","",RefStr!B64)</f>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2</v>
      </c>
      <c r="T3" s="206" t="s">
        <v>614</v>
      </c>
      <c r="U3" s="224" t="str">
        <f>RefStr!L21</f>
        <v>39806187636</v>
      </c>
      <c r="V3" s="206" t="s">
        <v>2736</v>
      </c>
      <c r="W3" s="224">
        <f>RefStr!C31</f>
        <v>51280</v>
      </c>
      <c r="X3" s="206" t="s">
        <v>1770</v>
      </c>
      <c r="Y3" s="224">
        <f>IF(RefStr!F54&lt;&gt;"",RefStr!F54,"")</f>
        <v>0</v>
      </c>
      <c r="Z3" s="206" t="s">
        <v>442</v>
      </c>
      <c r="AA3" s="224">
        <f>IF(RefStr!B66="","",RefStr!B66)</f>
      </c>
    </row>
    <row r="4" spans="1:27" ht="13.5" customHeight="1">
      <c r="A4" s="505"/>
      <c r="B4" s="506"/>
      <c r="C4" s="506"/>
      <c r="D4" s="506"/>
      <c r="E4" s="506"/>
      <c r="F4" s="506"/>
      <c r="G4" s="506"/>
      <c r="H4" s="506"/>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36457028007</v>
      </c>
      <c r="V4" s="206" t="s">
        <v>2737</v>
      </c>
      <c r="W4" s="224" t="str">
        <f>RefStr!F31</f>
        <v>RAB</v>
      </c>
      <c r="X4" s="226" t="s">
        <v>1783</v>
      </c>
      <c r="Y4" s="227" t="str">
        <f>RefStr!I68</f>
        <v>DA</v>
      </c>
      <c r="Z4" s="206" t="s">
        <v>2970</v>
      </c>
      <c r="AA4" s="224" t="str">
        <f>RefStr!N19</f>
        <v>HSFI</v>
      </c>
    </row>
    <row r="5" spans="1:27" ht="13.5" customHeight="1">
      <c r="A5" s="505"/>
      <c r="B5" s="506"/>
      <c r="C5" s="506"/>
      <c r="D5" s="506"/>
      <c r="E5" s="506"/>
      <c r="F5" s="506"/>
      <c r="G5" s="506"/>
      <c r="H5" s="506"/>
      <c r="I5" s="513"/>
      <c r="J5" s="514"/>
      <c r="L5" s="3"/>
      <c r="M5" s="3"/>
      <c r="N5" s="203" t="s">
        <v>556</v>
      </c>
      <c r="O5" s="206">
        <f>NT_I!Q1</f>
        <v>0</v>
      </c>
      <c r="P5" s="207">
        <f>NT_I!Q2</f>
        <v>0</v>
      </c>
      <c r="Q5" s="224">
        <f>NT_I!Q3</f>
        <v>0</v>
      </c>
      <c r="R5" s="206" t="s">
        <v>2888</v>
      </c>
      <c r="S5" s="224">
        <f>IF(RefStr!C19&lt;&gt;"",IF(ISERROR(INT(RefStr!C19)),0,RefStr!C19),0)</f>
        <v>2</v>
      </c>
      <c r="T5" s="206" t="s">
        <v>1560</v>
      </c>
      <c r="U5" s="224" t="str">
        <f>RefStr!H27</f>
        <v>03057160</v>
      </c>
      <c r="V5" s="206" t="s">
        <v>2738</v>
      </c>
      <c r="W5" s="224" t="str">
        <f>RefStr!C33</f>
        <v>Palit 68</v>
      </c>
      <c r="X5" s="226" t="s">
        <v>2929</v>
      </c>
      <c r="Y5" s="227" t="str">
        <f>RefStr!I62</f>
        <v>DA</v>
      </c>
      <c r="Z5" s="206" t="s">
        <v>927</v>
      </c>
      <c r="AA5" s="224" t="str">
        <f>RefStr!M46</f>
        <v>0578622</v>
      </c>
    </row>
    <row r="6" spans="1:27" ht="13.5" customHeight="1">
      <c r="A6" s="505"/>
      <c r="B6" s="506"/>
      <c r="C6" s="506"/>
      <c r="D6" s="506"/>
      <c r="E6" s="506"/>
      <c r="F6" s="506"/>
      <c r="G6" s="506"/>
      <c r="H6" s="506"/>
      <c r="I6" s="513"/>
      <c r="J6" s="514"/>
      <c r="L6" s="3"/>
      <c r="M6" s="3"/>
      <c r="N6" s="203" t="s">
        <v>557</v>
      </c>
      <c r="O6" s="206">
        <f>NT_D!Q1</f>
        <v>0</v>
      </c>
      <c r="P6" s="207">
        <f>NT_D!Q2</f>
        <v>0</v>
      </c>
      <c r="Q6" s="224">
        <f>NT_D!Q3</f>
        <v>0</v>
      </c>
      <c r="R6" s="206" t="s">
        <v>2886</v>
      </c>
      <c r="S6" s="224" t="str">
        <f>RefStr!C21</f>
        <v>NE</v>
      </c>
      <c r="T6" s="206" t="s">
        <v>1561</v>
      </c>
      <c r="U6" s="224" t="str">
        <f>RefStr!M27</f>
        <v>040068164</v>
      </c>
      <c r="V6" s="206" t="s">
        <v>2968</v>
      </c>
      <c r="W6" s="224" t="str">
        <f>RefStr!L35</f>
        <v>051724031</v>
      </c>
      <c r="X6" s="206" t="s">
        <v>2926</v>
      </c>
      <c r="Y6" s="224" t="str">
        <f>RefStr!C68</f>
        <v>Marija Perkić</v>
      </c>
      <c r="Z6" s="206" t="s">
        <v>2952</v>
      </c>
      <c r="AA6" s="224">
        <f>RefStr!C46</f>
        <v>0</v>
      </c>
    </row>
    <row r="7" spans="1:27" ht="13.5" customHeight="1">
      <c r="A7" s="505"/>
      <c r="B7" s="506"/>
      <c r="C7" s="506"/>
      <c r="D7" s="506"/>
      <c r="E7" s="506"/>
      <c r="F7" s="506"/>
      <c r="G7" s="506"/>
      <c r="H7" s="506"/>
      <c r="I7" s="214" t="s">
        <v>211</v>
      </c>
      <c r="J7" s="216">
        <f>SUM(M12:M122)</f>
        <v>0</v>
      </c>
      <c r="N7" s="203" t="s">
        <v>795</v>
      </c>
      <c r="O7" s="206">
        <f>PK!AC1</f>
        <v>0</v>
      </c>
      <c r="P7" s="207">
        <f>PK!AC2</f>
        <v>0</v>
      </c>
      <c r="Q7" s="224">
        <f>PK!AC3</f>
        <v>0</v>
      </c>
      <c r="R7" s="206" t="s">
        <v>2969</v>
      </c>
      <c r="S7" s="224">
        <f>IF(RefStr!C44&lt;&gt;"",IF(ISERROR(INT(RefStr!C44)),0,RefStr!C44),0)</f>
        <v>2</v>
      </c>
      <c r="T7" s="206" t="s">
        <v>916</v>
      </c>
      <c r="U7" s="224">
        <f>RefStr!C7</f>
        <v>1</v>
      </c>
      <c r="V7" s="206" t="s">
        <v>2884</v>
      </c>
      <c r="W7" s="224" t="str">
        <f>TRIM(UPPER(RefStr!C35))</f>
        <v>VRELORAB@VRELO.HR</v>
      </c>
      <c r="X7" s="206" t="s">
        <v>2927</v>
      </c>
      <c r="Y7" s="224" t="str">
        <f>RefStr!C70</f>
        <v>051 724 031</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f>IF(RefStr!C4&lt;&gt;"",RefStr!C4,0)</f>
        <v>44197</v>
      </c>
      <c r="T8" s="206" t="s">
        <v>915</v>
      </c>
      <c r="U8" s="224" t="str">
        <f>RefStr!D7</f>
        <v>Javno trgovačko društvo</v>
      </c>
      <c r="V8" s="206" t="s">
        <v>2974</v>
      </c>
      <c r="W8" s="224" t="str">
        <f>RefStr!C42</f>
        <v>3600</v>
      </c>
      <c r="X8" s="206" t="s">
        <v>2928</v>
      </c>
      <c r="Y8" s="224" t="str">
        <f>TRIM(UPPER(RefStr!C72))</f>
        <v>MPERKIC@VRELO.HR</v>
      </c>
      <c r="Z8" s="228" t="s">
        <v>1780</v>
      </c>
      <c r="AA8" s="229" t="str">
        <f>RefStr!I56</f>
        <v>DA</v>
      </c>
    </row>
    <row r="9" spans="1:27" ht="13.5" customHeight="1">
      <c r="A9" s="515" t="s">
        <v>819</v>
      </c>
      <c r="B9" s="515"/>
      <c r="C9" s="515" t="s">
        <v>963</v>
      </c>
      <c r="D9" s="515"/>
      <c r="E9" s="515"/>
      <c r="F9" s="515"/>
      <c r="G9" s="515"/>
      <c r="H9" s="515"/>
      <c r="I9" s="515"/>
      <c r="J9" s="515"/>
      <c r="L9" s="190"/>
      <c r="M9" s="190"/>
      <c r="O9" s="222" t="s">
        <v>1464</v>
      </c>
      <c r="P9" s="204">
        <f>RefStr!C58</f>
        <v>50</v>
      </c>
      <c r="Q9" s="223">
        <f>RefStr!F58</f>
        <v>50</v>
      </c>
      <c r="R9" s="206" t="s">
        <v>914</v>
      </c>
      <c r="S9" s="224">
        <f>IF(RefStr!F4&lt;&gt;"",RefStr!F4,0)</f>
        <v>44561</v>
      </c>
      <c r="T9" s="206" t="s">
        <v>891</v>
      </c>
      <c r="U9" s="224">
        <f>RefStr!C39</f>
        <v>363</v>
      </c>
      <c r="V9" s="206" t="s">
        <v>2951</v>
      </c>
      <c r="W9" s="224" t="str">
        <f>RefStr!D42</f>
        <v>Skupljanje, pročišćavanje i opskrba vo...</v>
      </c>
      <c r="X9" s="230" t="s">
        <v>1782</v>
      </c>
      <c r="Y9" s="231" t="str">
        <f>RefStr!I66</f>
        <v>DA</v>
      </c>
      <c r="Z9" s="228" t="s">
        <v>1781</v>
      </c>
      <c r="AA9" s="229" t="str">
        <f>RefStr!I64</f>
        <v>NE</v>
      </c>
    </row>
    <row r="10" spans="1:27" ht="13.5" customHeight="1">
      <c r="A10" s="516"/>
      <c r="B10" s="516"/>
      <c r="C10" s="516"/>
      <c r="D10" s="516"/>
      <c r="E10" s="516"/>
      <c r="F10" s="516"/>
      <c r="G10" s="516"/>
      <c r="H10" s="516"/>
      <c r="I10" s="516"/>
      <c r="J10" s="516"/>
      <c r="L10" s="190"/>
      <c r="M10" s="190"/>
      <c r="O10" s="222" t="s">
        <v>1998</v>
      </c>
      <c r="P10" s="208">
        <f>RefStr!C56</f>
        <v>50</v>
      </c>
      <c r="Q10" s="225">
        <f>RefStr!F56</f>
        <v>49</v>
      </c>
      <c r="R10" s="208" t="s">
        <v>917</v>
      </c>
      <c r="S10" s="225">
        <f>RefStr!C23</f>
        <v>1</v>
      </c>
      <c r="T10" s="208" t="s">
        <v>2973</v>
      </c>
      <c r="U10" s="225" t="str">
        <f>RefStr!D39</f>
        <v>Rab</v>
      </c>
      <c r="V10" s="232"/>
      <c r="W10" s="233"/>
      <c r="X10" s="234" t="s">
        <v>2279</v>
      </c>
      <c r="Y10" s="235">
        <f>RefStr!F12</f>
        <v>2021</v>
      </c>
      <c r="Z10" s="208" t="s">
        <v>1771</v>
      </c>
      <c r="AA10" s="225" t="str">
        <f>RefStr!A75</f>
        <v>Ivan Lušić</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520" t="s">
        <v>1285</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5" t="s">
        <v>702</v>
      </c>
      <c r="D44" s="495"/>
      <c r="E44" s="495"/>
      <c r="F44" s="495"/>
      <c r="G44" s="495"/>
      <c r="H44" s="495"/>
      <c r="I44" s="495"/>
      <c r="J44" s="495"/>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1794</v>
      </c>
      <c r="Q50" s="197">
        <f>IF(Bilanca!I73&gt;2600000,1,0)</f>
        <v>1</v>
      </c>
      <c r="R50" s="196">
        <f>IF(RDG!I60&gt;5200000,1,0)</f>
        <v>1</v>
      </c>
      <c r="S50" s="196">
        <f>IF(P10&gt;10,1,0)</f>
        <v>1</v>
      </c>
      <c r="T50" s="196" t="s">
        <v>2256</v>
      </c>
      <c r="U50" s="196">
        <f>IF(Bilanca!I73&gt;30000000,1,0)</f>
        <v>1</v>
      </c>
      <c r="V50" s="196">
        <f>IF(RDG!I60&gt;60000000,1,0)</f>
        <v>0</v>
      </c>
      <c r="W50" s="196">
        <f>IF(P10&gt;50,1,0)</f>
        <v>0</v>
      </c>
      <c r="X50" s="196" t="s">
        <v>2257</v>
      </c>
      <c r="Y50" s="196">
        <f>IF(Bilanca!I73&gt;150000000,1,0)</f>
        <v>1</v>
      </c>
      <c r="Z50" s="196">
        <f>IF(RDG!I60&gt;300000000,1,0)</f>
        <v>0</v>
      </c>
      <c r="AA50" s="196">
        <f>IF(P10&gt;250,1,0)</f>
        <v>0</v>
      </c>
      <c r="AC50" s="194">
        <f>IF(SUM(AM50:AO50)&gt;1,4,IF(SUM(AI50:AK50)&gt;1,3,IF(SUM(AE50:AG50)&gt;1,2,IF(S6="DA",2,1))))</f>
        <v>2</v>
      </c>
      <c r="AD50" s="197" t="s">
        <v>1794</v>
      </c>
      <c r="AE50" s="197">
        <f>IF(Bilanca!J73&gt;2600000,1,0)</f>
        <v>1</v>
      </c>
      <c r="AF50" s="196">
        <f>IF(S9&gt;S8,IF(RDG!J60*365/(S9-S8)&gt;5200000,1,0),0)</f>
        <v>1</v>
      </c>
      <c r="AG50" s="196">
        <f>IF(Q10&gt;10,1,0)</f>
        <v>1</v>
      </c>
      <c r="AH50" s="196" t="s">
        <v>2256</v>
      </c>
      <c r="AI50" s="196">
        <f>IF(Bilanca!J73&gt;30000000,1,0)</f>
        <v>1</v>
      </c>
      <c r="AJ50" s="196">
        <f>IF(S9&gt;S8,IF(RDG!J60*365/(S9-S8)&gt;60000000,1,0),0)</f>
        <v>0</v>
      </c>
      <c r="AK50" s="196">
        <f>IF(Q10&gt;50,1,0)</f>
        <v>0</v>
      </c>
      <c r="AL50" s="196" t="s">
        <v>2257</v>
      </c>
      <c r="AM50" s="196">
        <f>IF(Bilanca!J73&gt;150000000,1,0)</f>
        <v>1</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1</v>
      </c>
      <c r="AB52" s="217">
        <f>IF(RDG!I60&gt;30000000,1,0)</f>
        <v>0</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MAX(N73:R73)</f>
        <v>0</v>
      </c>
      <c r="M73" s="190"/>
      <c r="N73" s="190"/>
      <c r="O73" s="190"/>
      <c r="P73" s="190"/>
    </row>
    <row r="74" spans="1:17" ht="33" customHeight="1">
      <c r="A74" s="241">
        <f>A72+1</f>
        <v>61</v>
      </c>
      <c r="B74" s="237" t="str">
        <f aca="true" t="shared" si="12" ref="B74:B88">IF(L74=1,"Pogreška",IF(M74=1,"Provjera","OK"))</f>
        <v>OK</v>
      </c>
      <c r="C74" s="495" t="s">
        <v>765</v>
      </c>
      <c r="D74" s="495"/>
      <c r="E74" s="495"/>
      <c r="F74" s="495"/>
      <c r="G74" s="495"/>
      <c r="H74" s="495"/>
      <c r="I74" s="495"/>
      <c r="J74" s="495"/>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8"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C:\Users\Marina\Desktop\Za javnu objavu 2021 Vrelo d.o.o\[GFI-POD,Vrelo d.o.o. za 2021.ZA JAVNU OBJAVU. (2).xls]Bilanca</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25" activePane="bottomLeft" state="frozen"/>
      <selection pane="topLeft" activeCell="A1" sqref="A1"/>
      <selection pane="bottomLeft" activeCell="I64" sqref="I64"/>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2021</v>
      </c>
    </row>
    <row r="2" spans="1:17" s="144" customFormat="1" ht="54" customHeight="1">
      <c r="A2" s="346" t="s">
        <v>696</v>
      </c>
      <c r="B2" s="347"/>
      <c r="C2" s="347"/>
      <c r="D2" s="347"/>
      <c r="E2" s="347"/>
      <c r="F2" s="347"/>
      <c r="G2" s="347"/>
      <c r="H2" s="347"/>
      <c r="I2" s="347"/>
      <c r="J2" s="347"/>
      <c r="K2" s="347"/>
      <c r="L2" s="347"/>
      <c r="M2" s="347"/>
      <c r="N2" s="348"/>
      <c r="O2" s="3"/>
      <c r="P2" s="50"/>
      <c r="Q2" s="49">
        <f>IF(F4&lt;&gt;"",YEAR(F4),"")</f>
        <v>2021</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v>44197</v>
      </c>
      <c r="D4" s="345"/>
      <c r="E4" s="7" t="s">
        <v>560</v>
      </c>
      <c r="F4" s="344">
        <v>44561</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1</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21.71</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57.21</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v>2021</v>
      </c>
      <c r="G12" s="370"/>
      <c r="H12" s="362" t="s">
        <v>1983</v>
      </c>
      <c r="I12" s="363"/>
      <c r="J12" s="363"/>
      <c r="K12" s="152"/>
      <c r="L12" s="152"/>
      <c r="M12" s="152"/>
      <c r="N12" s="152"/>
      <c r="P12" s="50" t="s">
        <v>1561</v>
      </c>
      <c r="Q12" s="51">
        <f>INT(VALUE(H27))/10</f>
        <v>305716</v>
      </c>
    </row>
    <row r="13" spans="4:17" ht="9.75" customHeight="1">
      <c r="D13" s="152"/>
      <c r="E13" s="158"/>
      <c r="H13" s="23"/>
      <c r="I13" s="159"/>
      <c r="J13" s="159"/>
      <c r="K13" s="152"/>
      <c r="L13" s="152"/>
      <c r="M13" s="152"/>
      <c r="N13" s="152"/>
      <c r="P13" s="50" t="s">
        <v>1561</v>
      </c>
      <c r="Q13" s="51">
        <f>INT(VALUE(M27))/50</f>
        <v>801363.28</v>
      </c>
    </row>
    <row r="14" spans="1:17" ht="15">
      <c r="A14" s="377" t="s">
        <v>1312</v>
      </c>
      <c r="B14" s="377"/>
      <c r="C14" s="377"/>
      <c r="D14" s="160"/>
      <c r="E14" s="161"/>
      <c r="F14" s="375"/>
      <c r="G14" s="376"/>
      <c r="H14" s="376"/>
      <c r="I14" s="152"/>
      <c r="J14" s="367" t="s">
        <v>1978</v>
      </c>
      <c r="K14" s="368"/>
      <c r="L14" s="368"/>
      <c r="M14" s="368"/>
      <c r="N14" s="368"/>
      <c r="P14" s="50" t="s">
        <v>1316</v>
      </c>
      <c r="Q14" s="51">
        <f>INT(VALUE(C27))/100</f>
        <v>364570280.07</v>
      </c>
    </row>
    <row r="15" spans="1:17" ht="19.5" customHeight="1">
      <c r="A15" s="364">
        <f>Skriveni!B59</f>
        <v>3692603283.540001</v>
      </c>
      <c r="B15" s="365"/>
      <c r="C15" s="366"/>
      <c r="D15" s="56"/>
      <c r="E15" s="56"/>
      <c r="F15" s="56"/>
      <c r="G15" s="56"/>
      <c r="H15" s="56"/>
      <c r="I15" s="56"/>
      <c r="J15" s="56"/>
      <c r="K15" s="56"/>
      <c r="L15" s="56"/>
      <c r="M15" s="56"/>
      <c r="N15" s="56"/>
      <c r="P15" s="50" t="s">
        <v>887</v>
      </c>
      <c r="Q15" s="51">
        <f>LEN(Skriveni!B9)</f>
        <v>12</v>
      </c>
    </row>
    <row r="16" spans="4:17" ht="12.75" customHeight="1">
      <c r="D16" s="56"/>
      <c r="E16" s="56"/>
      <c r="F16" s="56"/>
      <c r="G16" s="56"/>
      <c r="H16" s="56"/>
      <c r="I16" s="56"/>
      <c r="P16" s="50" t="s">
        <v>888</v>
      </c>
      <c r="Q16" s="51">
        <f>INT(VALUE(C31))/100</f>
        <v>512.8</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3</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2</v>
      </c>
      <c r="D19" s="380" t="str">
        <f>IF(C19="","Upišite svrhu predaje",IF(ISNA(LOOKUP(C19,A118:A120,A118:A120)),"Nepostojeća ili neprepoznatljiva svrha predaje",IF(LOOKUP(C19,A118:A120,A118:A120)&lt;&gt;C19,"Nepostojeća ili neprepoznatljiva svrha predaje",LOOKUP(C19,A118:A120,B118:B120))))</f>
        <v>Predaja samo u svrhu javne objave</v>
      </c>
      <c r="E19" s="321"/>
      <c r="F19" s="321"/>
      <c r="G19" s="321"/>
      <c r="H19" s="321"/>
      <c r="I19" s="317" t="s">
        <v>198</v>
      </c>
      <c r="J19" s="379"/>
      <c r="K19" s="379"/>
      <c r="L19" s="379"/>
      <c r="M19" s="379"/>
      <c r="N19" s="32" t="s">
        <v>2994</v>
      </c>
      <c r="P19" s="50" t="s">
        <v>890</v>
      </c>
      <c r="Q19" s="51">
        <f>LEN(Skriveni!B12)</f>
        <v>8</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1587</v>
      </c>
      <c r="J21" s="378" t="s">
        <v>1988</v>
      </c>
      <c r="K21" s="379"/>
      <c r="L21" s="288" t="s">
        <v>2997</v>
      </c>
      <c r="M21" s="319"/>
      <c r="N21" s="290"/>
      <c r="P21" s="50" t="s">
        <v>891</v>
      </c>
      <c r="Q21" s="51">
        <f>INT(VALUE(C39))</f>
        <v>363</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3600</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2982</v>
      </c>
      <c r="D27" s="289"/>
      <c r="E27" s="290"/>
      <c r="F27" s="280" t="s">
        <v>2787</v>
      </c>
      <c r="G27" s="307"/>
      <c r="H27" s="288" t="s">
        <v>2983</v>
      </c>
      <c r="I27" s="305"/>
      <c r="J27" s="280" t="s">
        <v>1977</v>
      </c>
      <c r="K27" s="281"/>
      <c r="L27" s="306"/>
      <c r="M27" s="288" t="s">
        <v>2984</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2985</v>
      </c>
      <c r="D29" s="303"/>
      <c r="E29" s="303"/>
      <c r="F29" s="303"/>
      <c r="G29" s="303"/>
      <c r="H29" s="303"/>
      <c r="I29" s="303"/>
      <c r="J29" s="303"/>
      <c r="K29" s="303"/>
      <c r="L29" s="304"/>
      <c r="M29" s="56"/>
      <c r="N29" s="56"/>
      <c r="P29" s="50" t="s">
        <v>893</v>
      </c>
      <c r="Q29" s="51">
        <f>IF(I21="DA",1,0)</f>
        <v>1</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51280</v>
      </c>
      <c r="D31" s="328" t="s">
        <v>929</v>
      </c>
      <c r="E31" s="329"/>
      <c r="F31" s="302" t="s">
        <v>2986</v>
      </c>
      <c r="G31" s="330"/>
      <c r="H31" s="330"/>
      <c r="I31" s="330"/>
      <c r="J31" s="330"/>
      <c r="K31" s="330"/>
      <c r="L31" s="331"/>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2987</v>
      </c>
      <c r="D33" s="303"/>
      <c r="E33" s="303"/>
      <c r="F33" s="303"/>
      <c r="G33" s="303"/>
      <c r="H33" s="303"/>
      <c r="I33" s="303"/>
      <c r="J33" s="303"/>
      <c r="K33" s="303"/>
      <c r="L33" s="304"/>
      <c r="M33" s="56"/>
      <c r="N33" s="56"/>
      <c r="P33" s="50" t="s">
        <v>894</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2988</v>
      </c>
      <c r="D35" s="383"/>
      <c r="E35" s="383"/>
      <c r="F35" s="383"/>
      <c r="G35" s="383"/>
      <c r="H35" s="383"/>
      <c r="I35" s="384"/>
      <c r="J35" s="277" t="s">
        <v>1750</v>
      </c>
      <c r="K35" s="317"/>
      <c r="L35" s="288" t="s">
        <v>2996</v>
      </c>
      <c r="M35" s="319"/>
      <c r="N35" s="290"/>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t="s">
        <v>2989</v>
      </c>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363</v>
      </c>
      <c r="D39" s="278" t="str">
        <f>IF(C39="","Upišite šifru grada/općine",IF(ISNA(LOOKUP(C39,A177:A732,A177:A732)),"Šifra grada/općine ne postoji",IF(LOOKUP(C39,A177:A732,A177:A732)&lt;&gt;C39,"Šifra grada/općine ne postoji",LOOKUP(C39,A177:A732,B177:B732))))</f>
        <v>Rab</v>
      </c>
      <c r="E39" s="323"/>
      <c r="F39" s="323"/>
      <c r="G39" s="323"/>
      <c r="H39" s="287" t="s">
        <v>2109</v>
      </c>
      <c r="I39" s="306"/>
      <c r="J39" s="54">
        <f>IF(C39&gt;0,LOOKUP(C39,A177:A732,C177:C732),"")</f>
        <v>8</v>
      </c>
      <c r="K39" s="332" t="str">
        <f>IF(J39="","Upišite šifru grada/općine",LOOKUP(J39,A153:A173,B153:B173))</f>
        <v>PRIMORSKO-GORANSKA</v>
      </c>
      <c r="L39" s="332"/>
      <c r="M39" s="332"/>
      <c r="N39" s="332"/>
      <c r="P39" s="50" t="s">
        <v>896</v>
      </c>
      <c r="Q39" s="51">
        <f>C56+2*F56+3*C58+4*F58</f>
        <v>498</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2347</v>
      </c>
      <c r="D42" s="320" t="str">
        <f>IF(C42="","Upišite šifru razreda glavne djelatnosti",IF(ISNA(LOOKUP(C42,A736:A1351,A736:A1351)),"Šifra NKD-a ne postoji",IF(LOOKUP(C42,A736:A1351,A736:A1351)&lt;&gt;C42,"Šifra NKD-a ne postoji",LOOKUP(C42,A736:A1351,B736:B1351))))</f>
        <v>Skupljanje, pročišćavanje i opskrba vo...</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2</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Ovisno društvo (nema kontrolu nad drugim društvima), sa maticom u RH </v>
      </c>
      <c r="E44" s="279"/>
      <c r="F44" s="279"/>
      <c r="G44" s="279"/>
      <c r="H44" s="279"/>
      <c r="I44" s="279"/>
      <c r="J44" s="279"/>
      <c r="K44" s="279"/>
      <c r="L44" s="279"/>
      <c r="M44" s="279"/>
      <c r="N44" s="279"/>
      <c r="P44" s="50" t="s">
        <v>1299</v>
      </c>
      <c r="Q44" s="51">
        <f>LEN(Skriveni!B43)</f>
        <v>10</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t="s">
        <v>2995</v>
      </c>
      <c r="N46" s="372"/>
      <c r="P46" s="52" t="s">
        <v>898</v>
      </c>
      <c r="Q46" s="53">
        <f>INT(VALUE(L21))/100</f>
        <v>398061876.36</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2</v>
      </c>
      <c r="D50" s="274" t="str">
        <f>IF(C50="","Upišite oznaku veličine",IF(ISNA(LOOKUP(C50,A124:A127,A124:A127)),"Nepostojeća oznaka veličine",IF(LOOKUP(C50,A124:A127,A124:A127)&lt;&gt;C50,"Nepostojeća oznaka veličine",LOOKUP(C50,A124:A127,B124:B127))))</f>
        <v>Mali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86"/>
      <c r="I52" s="5" t="str">
        <f>IF(OR(Bilanca!Q1=1,RDG!Q1=1,N6="NE"),"DA","NE")</f>
        <v>DA</v>
      </c>
      <c r="J52" s="284" t="s">
        <v>989</v>
      </c>
      <c r="K52" s="285"/>
      <c r="L52" s="285"/>
      <c r="M52" s="285"/>
      <c r="N52" s="285"/>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NE</v>
      </c>
      <c r="J54" s="284" t="s">
        <v>820</v>
      </c>
      <c r="K54" s="285"/>
      <c r="L54" s="285"/>
      <c r="M54" s="285"/>
      <c r="N54" s="285"/>
      <c r="O54" s="182"/>
      <c r="P54" s="50" t="s">
        <v>2969</v>
      </c>
      <c r="Q54" s="50">
        <f>C44/10</f>
        <v>0.2</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50</v>
      </c>
      <c r="D56" s="326" t="s">
        <v>2653</v>
      </c>
      <c r="E56" s="327"/>
      <c r="F56" s="40">
        <v>49</v>
      </c>
      <c r="G56" s="326" t="s">
        <v>2654</v>
      </c>
      <c r="H56" s="381"/>
      <c r="I56" s="218" t="s">
        <v>1587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50</v>
      </c>
      <c r="D58" s="314" t="s">
        <v>2653</v>
      </c>
      <c r="E58" s="314"/>
      <c r="F58" s="40">
        <v>50</v>
      </c>
      <c r="G58" s="314" t="s">
        <v>2654</v>
      </c>
      <c r="H58" s="314"/>
      <c r="I58" s="5" t="str">
        <f>IF(OR(NT_I!Q1&lt;&gt;0,NT_D!Q1&lt;&gt;0),"DA","NE")</f>
        <v>NE</v>
      </c>
      <c r="J58" s="284" t="s">
        <v>1101</v>
      </c>
      <c r="K58" s="285"/>
      <c r="L58" s="285"/>
      <c r="M58" s="285"/>
      <c r="N58" s="285"/>
      <c r="O58" s="182"/>
      <c r="P58" s="50" t="s">
        <v>2278</v>
      </c>
      <c r="Q58" s="50">
        <f>IF(ISERROR(INT(M46)),LEN(TRIM(M46)),INT(M46)/100)</f>
        <v>5786.22</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NE</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1587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298" t="s">
        <v>1994</v>
      </c>
      <c r="D64" s="299"/>
      <c r="E64" s="299"/>
      <c r="F64" s="299"/>
      <c r="G64" s="152"/>
      <c r="H64" s="152"/>
      <c r="I64" s="218" t="s">
        <v>1237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c r="C66" s="296"/>
      <c r="D66" s="296"/>
      <c r="E66" s="296"/>
      <c r="F66" s="296"/>
      <c r="G66" s="297"/>
      <c r="H66" s="187"/>
      <c r="I66" s="218" t="s">
        <v>1587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2990</v>
      </c>
      <c r="D68" s="315"/>
      <c r="E68" s="315"/>
      <c r="F68" s="315"/>
      <c r="G68" s="316"/>
      <c r="H68" s="187"/>
      <c r="I68" s="218" t="s">
        <v>1587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2991</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2992</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2993</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tabSelected="1" zoomScalePageLayoutView="0" workbookViewId="0" topLeftCell="A1">
      <pane ySplit="1" topLeftCell="A110" activePane="bottomLeft" state="frozen"/>
      <selection pane="topLeft" activeCell="A1" sqref="A1"/>
      <selection pane="bottomLeft" activeCell="J124" sqref="J124"/>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31.12.2021.</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36457028007; Vrelo d.o.o.</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c r="J9" s="67"/>
      <c r="O9" s="70"/>
    </row>
    <row r="10" spans="1:10" ht="13.5" customHeight="1">
      <c r="A10" s="387" t="s">
        <v>903</v>
      </c>
      <c r="B10" s="387"/>
      <c r="C10" s="387"/>
      <c r="D10" s="387"/>
      <c r="E10" s="387"/>
      <c r="F10" s="387"/>
      <c r="G10" s="15">
        <v>2</v>
      </c>
      <c r="H10" s="16"/>
      <c r="I10" s="66">
        <f>I11+I18+I28+I39+I44</f>
        <v>204811713</v>
      </c>
      <c r="J10" s="66">
        <f>J11+J18+J28+J39+J44</f>
        <v>201524518</v>
      </c>
    </row>
    <row r="11" spans="1:10" ht="13.5" customHeight="1">
      <c r="A11" s="386" t="s">
        <v>904</v>
      </c>
      <c r="B11" s="386"/>
      <c r="C11" s="386"/>
      <c r="D11" s="386"/>
      <c r="E11" s="386"/>
      <c r="F11" s="386"/>
      <c r="G11" s="15">
        <v>3</v>
      </c>
      <c r="H11" s="16"/>
      <c r="I11" s="66">
        <f>SUM(I12:I17)</f>
        <v>0</v>
      </c>
      <c r="J11" s="66">
        <f>SUM(J12:J17)</f>
        <v>0</v>
      </c>
    </row>
    <row r="12" spans="1:10" ht="13.5" customHeight="1">
      <c r="A12" s="385" t="s">
        <v>1887</v>
      </c>
      <c r="B12" s="385"/>
      <c r="C12" s="385"/>
      <c r="D12" s="385"/>
      <c r="E12" s="385"/>
      <c r="F12" s="385"/>
      <c r="G12" s="15">
        <v>4</v>
      </c>
      <c r="H12" s="16"/>
      <c r="I12" s="67"/>
      <c r="J12" s="67"/>
    </row>
    <row r="13" spans="1:10" ht="24.75" customHeight="1">
      <c r="A13" s="385" t="s">
        <v>880</v>
      </c>
      <c r="B13" s="385"/>
      <c r="C13" s="385"/>
      <c r="D13" s="385"/>
      <c r="E13" s="385"/>
      <c r="F13" s="385"/>
      <c r="G13" s="15">
        <v>5</v>
      </c>
      <c r="H13" s="16"/>
      <c r="I13" s="67"/>
      <c r="J13" s="67"/>
    </row>
    <row r="14" spans="1:10" ht="13.5" customHeight="1">
      <c r="A14" s="385" t="s">
        <v>1888</v>
      </c>
      <c r="B14" s="385"/>
      <c r="C14" s="385"/>
      <c r="D14" s="385"/>
      <c r="E14" s="385"/>
      <c r="F14" s="385"/>
      <c r="G14" s="15">
        <v>6</v>
      </c>
      <c r="H14" s="16"/>
      <c r="I14" s="67"/>
      <c r="J14" s="67"/>
    </row>
    <row r="15" spans="1:10" ht="13.5" customHeight="1">
      <c r="A15" s="385" t="s">
        <v>1889</v>
      </c>
      <c r="B15" s="385"/>
      <c r="C15" s="385"/>
      <c r="D15" s="385"/>
      <c r="E15" s="385"/>
      <c r="F15" s="385"/>
      <c r="G15" s="15">
        <v>7</v>
      </c>
      <c r="H15" s="16"/>
      <c r="I15" s="67"/>
      <c r="J15" s="67"/>
    </row>
    <row r="16" spans="1:10" ht="13.5" customHeight="1">
      <c r="A16" s="385" t="s">
        <v>1890</v>
      </c>
      <c r="B16" s="385"/>
      <c r="C16" s="385"/>
      <c r="D16" s="385"/>
      <c r="E16" s="385"/>
      <c r="F16" s="385"/>
      <c r="G16" s="15">
        <v>8</v>
      </c>
      <c r="H16" s="16"/>
      <c r="I16" s="67"/>
      <c r="J16" s="67"/>
    </row>
    <row r="17" spans="1:10" ht="13.5" customHeight="1">
      <c r="A17" s="385" t="s">
        <v>1891</v>
      </c>
      <c r="B17" s="385"/>
      <c r="C17" s="385"/>
      <c r="D17" s="385"/>
      <c r="E17" s="385"/>
      <c r="F17" s="385"/>
      <c r="G17" s="15">
        <v>9</v>
      </c>
      <c r="H17" s="16"/>
      <c r="I17" s="67"/>
      <c r="J17" s="67"/>
    </row>
    <row r="18" spans="1:10" ht="13.5" customHeight="1">
      <c r="A18" s="386" t="s">
        <v>965</v>
      </c>
      <c r="B18" s="386"/>
      <c r="C18" s="386"/>
      <c r="D18" s="386"/>
      <c r="E18" s="386"/>
      <c r="F18" s="386"/>
      <c r="G18" s="15">
        <v>10</v>
      </c>
      <c r="H18" s="16"/>
      <c r="I18" s="66">
        <f>SUM(I19:I27)</f>
        <v>204789618</v>
      </c>
      <c r="J18" s="66">
        <f>SUM(J19:J27)</f>
        <v>201504823</v>
      </c>
    </row>
    <row r="19" spans="1:10" ht="13.5" customHeight="1">
      <c r="A19" s="385" t="s">
        <v>733</v>
      </c>
      <c r="B19" s="385"/>
      <c r="C19" s="385"/>
      <c r="D19" s="385"/>
      <c r="E19" s="385"/>
      <c r="F19" s="385"/>
      <c r="G19" s="15">
        <v>11</v>
      </c>
      <c r="H19" s="16"/>
      <c r="I19" s="67">
        <v>1792489</v>
      </c>
      <c r="J19" s="67">
        <v>1792489</v>
      </c>
    </row>
    <row r="20" spans="1:10" ht="13.5" customHeight="1">
      <c r="A20" s="385" t="s">
        <v>796</v>
      </c>
      <c r="B20" s="385"/>
      <c r="C20" s="385"/>
      <c r="D20" s="385"/>
      <c r="E20" s="385"/>
      <c r="F20" s="385"/>
      <c r="G20" s="15">
        <v>12</v>
      </c>
      <c r="H20" s="16"/>
      <c r="I20" s="67">
        <v>181339455</v>
      </c>
      <c r="J20" s="67">
        <v>182226065</v>
      </c>
    </row>
    <row r="21" spans="1:10" ht="13.5" customHeight="1">
      <c r="A21" s="385" t="s">
        <v>734</v>
      </c>
      <c r="B21" s="385"/>
      <c r="C21" s="385"/>
      <c r="D21" s="385"/>
      <c r="E21" s="385"/>
      <c r="F21" s="385"/>
      <c r="G21" s="15">
        <v>13</v>
      </c>
      <c r="H21" s="16"/>
      <c r="I21" s="67">
        <v>4542116</v>
      </c>
      <c r="J21" s="67">
        <v>4280829</v>
      </c>
    </row>
    <row r="22" spans="1:10" ht="13.5" customHeight="1">
      <c r="A22" s="385" t="s">
        <v>405</v>
      </c>
      <c r="B22" s="385"/>
      <c r="C22" s="385"/>
      <c r="D22" s="385"/>
      <c r="E22" s="385"/>
      <c r="F22" s="385"/>
      <c r="G22" s="15">
        <v>14</v>
      </c>
      <c r="H22" s="16"/>
      <c r="I22" s="67">
        <v>321031</v>
      </c>
      <c r="J22" s="67">
        <v>451570</v>
      </c>
    </row>
    <row r="23" spans="1:10" ht="13.5" customHeight="1">
      <c r="A23" s="385" t="s">
        <v>406</v>
      </c>
      <c r="B23" s="385"/>
      <c r="C23" s="385"/>
      <c r="D23" s="385"/>
      <c r="E23" s="385"/>
      <c r="F23" s="385"/>
      <c r="G23" s="15">
        <v>15</v>
      </c>
      <c r="H23" s="16"/>
      <c r="I23" s="67"/>
      <c r="J23" s="67"/>
    </row>
    <row r="24" spans="1:10" ht="13.5" customHeight="1">
      <c r="A24" s="385" t="s">
        <v>2691</v>
      </c>
      <c r="B24" s="385"/>
      <c r="C24" s="385"/>
      <c r="D24" s="385"/>
      <c r="E24" s="385"/>
      <c r="F24" s="385"/>
      <c r="G24" s="15">
        <v>16</v>
      </c>
      <c r="H24" s="16"/>
      <c r="I24" s="67"/>
      <c r="J24" s="67"/>
    </row>
    <row r="25" spans="1:10" ht="13.5" customHeight="1">
      <c r="A25" s="385" t="s">
        <v>2692</v>
      </c>
      <c r="B25" s="385"/>
      <c r="C25" s="385"/>
      <c r="D25" s="385"/>
      <c r="E25" s="385"/>
      <c r="F25" s="385"/>
      <c r="G25" s="15">
        <v>17</v>
      </c>
      <c r="H25" s="16"/>
      <c r="I25" s="67">
        <v>16686269</v>
      </c>
      <c r="J25" s="67">
        <v>12677227</v>
      </c>
    </row>
    <row r="26" spans="1:10" ht="13.5" customHeight="1">
      <c r="A26" s="385" t="s">
        <v>2693</v>
      </c>
      <c r="B26" s="385"/>
      <c r="C26" s="385"/>
      <c r="D26" s="385"/>
      <c r="E26" s="385"/>
      <c r="F26" s="385"/>
      <c r="G26" s="15">
        <v>18</v>
      </c>
      <c r="H26" s="16"/>
      <c r="I26" s="67">
        <v>108258</v>
      </c>
      <c r="J26" s="67">
        <v>76643</v>
      </c>
    </row>
    <row r="27" spans="1:10" ht="13.5" customHeight="1">
      <c r="A27" s="385" t="s">
        <v>2694</v>
      </c>
      <c r="B27" s="385"/>
      <c r="C27" s="385"/>
      <c r="D27" s="385"/>
      <c r="E27" s="385"/>
      <c r="F27" s="385"/>
      <c r="G27" s="15">
        <v>19</v>
      </c>
      <c r="H27" s="16"/>
      <c r="I27" s="67"/>
      <c r="J27" s="67"/>
    </row>
    <row r="28" spans="1:10" ht="13.5" customHeight="1">
      <c r="A28" s="386" t="s">
        <v>1261</v>
      </c>
      <c r="B28" s="386"/>
      <c r="C28" s="386"/>
      <c r="D28" s="386"/>
      <c r="E28" s="386"/>
      <c r="F28" s="386"/>
      <c r="G28" s="15">
        <v>20</v>
      </c>
      <c r="H28" s="16"/>
      <c r="I28" s="66">
        <f>SUM(I29:I38)</f>
        <v>15647</v>
      </c>
      <c r="J28" s="66">
        <f>SUM(J29:J38)</f>
        <v>15647</v>
      </c>
    </row>
    <row r="29" spans="1:10" ht="13.5" customHeight="1">
      <c r="A29" s="385" t="s">
        <v>705</v>
      </c>
      <c r="B29" s="385"/>
      <c r="C29" s="385"/>
      <c r="D29" s="385"/>
      <c r="E29" s="385"/>
      <c r="F29" s="385"/>
      <c r="G29" s="15">
        <v>21</v>
      </c>
      <c r="H29" s="16"/>
      <c r="I29" s="67"/>
      <c r="J29" s="67"/>
    </row>
    <row r="30" spans="1:10" ht="13.5" customHeight="1">
      <c r="A30" s="385" t="s">
        <v>706</v>
      </c>
      <c r="B30" s="385"/>
      <c r="C30" s="385"/>
      <c r="D30" s="385"/>
      <c r="E30" s="385"/>
      <c r="F30" s="385"/>
      <c r="G30" s="15">
        <v>22</v>
      </c>
      <c r="H30" s="16"/>
      <c r="I30" s="67"/>
      <c r="J30" s="67"/>
    </row>
    <row r="31" spans="1:10" ht="13.5" customHeight="1">
      <c r="A31" s="385" t="s">
        <v>707</v>
      </c>
      <c r="B31" s="385"/>
      <c r="C31" s="385"/>
      <c r="D31" s="385"/>
      <c r="E31" s="385"/>
      <c r="F31" s="385"/>
      <c r="G31" s="15">
        <v>23</v>
      </c>
      <c r="H31" s="16"/>
      <c r="I31" s="67"/>
      <c r="J31" s="67"/>
    </row>
    <row r="32" spans="1:10" ht="24.75" customHeight="1">
      <c r="A32" s="385" t="s">
        <v>881</v>
      </c>
      <c r="B32" s="385"/>
      <c r="C32" s="385"/>
      <c r="D32" s="385"/>
      <c r="E32" s="385"/>
      <c r="F32" s="385"/>
      <c r="G32" s="15">
        <v>24</v>
      </c>
      <c r="H32" s="16"/>
      <c r="I32" s="67"/>
      <c r="J32" s="67"/>
    </row>
    <row r="33" spans="1:10" ht="24.75" customHeight="1">
      <c r="A33" s="385" t="s">
        <v>882</v>
      </c>
      <c r="B33" s="385"/>
      <c r="C33" s="385"/>
      <c r="D33" s="385"/>
      <c r="E33" s="385"/>
      <c r="F33" s="385"/>
      <c r="G33" s="15">
        <v>25</v>
      </c>
      <c r="H33" s="16"/>
      <c r="I33" s="67"/>
      <c r="J33" s="67"/>
    </row>
    <row r="34" spans="1:10" ht="24.75" customHeight="1">
      <c r="A34" s="385" t="s">
        <v>1996</v>
      </c>
      <c r="B34" s="385"/>
      <c r="C34" s="385"/>
      <c r="D34" s="385"/>
      <c r="E34" s="385"/>
      <c r="F34" s="385"/>
      <c r="G34" s="15">
        <v>26</v>
      </c>
      <c r="H34" s="16"/>
      <c r="I34" s="67"/>
      <c r="J34" s="67"/>
    </row>
    <row r="35" spans="1:10" ht="13.5" customHeight="1">
      <c r="A35" s="385" t="s">
        <v>708</v>
      </c>
      <c r="B35" s="385"/>
      <c r="C35" s="385"/>
      <c r="D35" s="385"/>
      <c r="E35" s="385"/>
      <c r="F35" s="385"/>
      <c r="G35" s="15">
        <v>27</v>
      </c>
      <c r="H35" s="16"/>
      <c r="I35" s="67">
        <v>15647</v>
      </c>
      <c r="J35" s="67">
        <v>15647</v>
      </c>
    </row>
    <row r="36" spans="1:10" ht="13.5" customHeight="1">
      <c r="A36" s="385" t="s">
        <v>709</v>
      </c>
      <c r="B36" s="385"/>
      <c r="C36" s="385"/>
      <c r="D36" s="385"/>
      <c r="E36" s="385"/>
      <c r="F36" s="385"/>
      <c r="G36" s="15">
        <v>28</v>
      </c>
      <c r="H36" s="16"/>
      <c r="I36" s="67"/>
      <c r="J36" s="67"/>
    </row>
    <row r="37" spans="1:10" ht="13.5" customHeight="1">
      <c r="A37" s="385" t="s">
        <v>1952</v>
      </c>
      <c r="B37" s="385"/>
      <c r="C37" s="385"/>
      <c r="D37" s="385"/>
      <c r="E37" s="385"/>
      <c r="F37" s="385"/>
      <c r="G37" s="15">
        <v>29</v>
      </c>
      <c r="H37" s="16"/>
      <c r="I37" s="67"/>
      <c r="J37" s="67"/>
    </row>
    <row r="38" spans="1:10" ht="13.5" customHeight="1">
      <c r="A38" s="385" t="s">
        <v>1953</v>
      </c>
      <c r="B38" s="385"/>
      <c r="C38" s="385"/>
      <c r="D38" s="385"/>
      <c r="E38" s="385"/>
      <c r="F38" s="385"/>
      <c r="G38" s="15">
        <v>30</v>
      </c>
      <c r="H38" s="16"/>
      <c r="I38" s="67"/>
      <c r="J38" s="67"/>
    </row>
    <row r="39" spans="1:10" ht="13.5" customHeight="1">
      <c r="A39" s="386" t="s">
        <v>1262</v>
      </c>
      <c r="B39" s="386"/>
      <c r="C39" s="386"/>
      <c r="D39" s="386"/>
      <c r="E39" s="386"/>
      <c r="F39" s="386"/>
      <c r="G39" s="15">
        <v>31</v>
      </c>
      <c r="H39" s="16"/>
      <c r="I39" s="66">
        <f>SUM(I40:I43)</f>
        <v>6448</v>
      </c>
      <c r="J39" s="66">
        <f>SUM(J40:J43)</f>
        <v>4048</v>
      </c>
    </row>
    <row r="40" spans="1:10" ht="13.5" customHeight="1">
      <c r="A40" s="385" t="s">
        <v>1954</v>
      </c>
      <c r="B40" s="385"/>
      <c r="C40" s="385"/>
      <c r="D40" s="385"/>
      <c r="E40" s="385"/>
      <c r="F40" s="385"/>
      <c r="G40" s="15">
        <v>32</v>
      </c>
      <c r="H40" s="16"/>
      <c r="I40" s="67"/>
      <c r="J40" s="67"/>
    </row>
    <row r="41" spans="1:10" ht="13.5" customHeight="1">
      <c r="A41" s="385" t="s">
        <v>159</v>
      </c>
      <c r="B41" s="385"/>
      <c r="C41" s="385"/>
      <c r="D41" s="385"/>
      <c r="E41" s="385"/>
      <c r="F41" s="385"/>
      <c r="G41" s="15">
        <v>33</v>
      </c>
      <c r="H41" s="16"/>
      <c r="I41" s="67"/>
      <c r="J41" s="67"/>
    </row>
    <row r="42" spans="1:10" ht="13.5" customHeight="1">
      <c r="A42" s="385" t="s">
        <v>1886</v>
      </c>
      <c r="B42" s="385"/>
      <c r="C42" s="385"/>
      <c r="D42" s="385"/>
      <c r="E42" s="385"/>
      <c r="F42" s="385"/>
      <c r="G42" s="15">
        <v>34</v>
      </c>
      <c r="H42" s="16"/>
      <c r="I42" s="67"/>
      <c r="J42" s="67"/>
    </row>
    <row r="43" spans="1:10" ht="13.5" customHeight="1">
      <c r="A43" s="385" t="s">
        <v>160</v>
      </c>
      <c r="B43" s="385"/>
      <c r="C43" s="385"/>
      <c r="D43" s="385"/>
      <c r="E43" s="385"/>
      <c r="F43" s="385"/>
      <c r="G43" s="15">
        <v>35</v>
      </c>
      <c r="H43" s="16"/>
      <c r="I43" s="67">
        <v>6448</v>
      </c>
      <c r="J43" s="67">
        <v>4048</v>
      </c>
    </row>
    <row r="44" spans="1:10" ht="13.5" customHeight="1">
      <c r="A44" s="386" t="s">
        <v>1505</v>
      </c>
      <c r="B44" s="386"/>
      <c r="C44" s="386"/>
      <c r="D44" s="386"/>
      <c r="E44" s="386"/>
      <c r="F44" s="386"/>
      <c r="G44" s="15">
        <v>36</v>
      </c>
      <c r="H44" s="16"/>
      <c r="I44" s="67"/>
      <c r="J44" s="67"/>
    </row>
    <row r="45" spans="1:10" ht="13.5" customHeight="1">
      <c r="A45" s="387" t="s">
        <v>1263</v>
      </c>
      <c r="B45" s="387"/>
      <c r="C45" s="387"/>
      <c r="D45" s="387"/>
      <c r="E45" s="387"/>
      <c r="F45" s="387"/>
      <c r="G45" s="15">
        <v>37</v>
      </c>
      <c r="H45" s="16"/>
      <c r="I45" s="66">
        <f>I46+I54+I61+I71</f>
        <v>6038622</v>
      </c>
      <c r="J45" s="66">
        <f>J46+J54+J61+J71</f>
        <v>4877663</v>
      </c>
    </row>
    <row r="46" spans="1:10" ht="13.5" customHeight="1">
      <c r="A46" s="386" t="s">
        <v>1264</v>
      </c>
      <c r="B46" s="386"/>
      <c r="C46" s="386"/>
      <c r="D46" s="386"/>
      <c r="E46" s="386"/>
      <c r="F46" s="386"/>
      <c r="G46" s="15">
        <v>38</v>
      </c>
      <c r="H46" s="16"/>
      <c r="I46" s="66">
        <f>SUM(I47:I53)</f>
        <v>731336</v>
      </c>
      <c r="J46" s="66">
        <f>SUM(J47:J53)</f>
        <v>613170</v>
      </c>
    </row>
    <row r="47" spans="1:10" ht="13.5" customHeight="1">
      <c r="A47" s="385" t="s">
        <v>1892</v>
      </c>
      <c r="B47" s="385"/>
      <c r="C47" s="385"/>
      <c r="D47" s="385"/>
      <c r="E47" s="385"/>
      <c r="F47" s="385"/>
      <c r="G47" s="15">
        <v>39</v>
      </c>
      <c r="H47" s="16"/>
      <c r="I47" s="67">
        <v>731336</v>
      </c>
      <c r="J47" s="67">
        <v>613170</v>
      </c>
    </row>
    <row r="48" spans="1:10" ht="13.5" customHeight="1">
      <c r="A48" s="385" t="s">
        <v>1893</v>
      </c>
      <c r="B48" s="385"/>
      <c r="C48" s="385"/>
      <c r="D48" s="385"/>
      <c r="E48" s="385"/>
      <c r="F48" s="385"/>
      <c r="G48" s="15">
        <v>40</v>
      </c>
      <c r="H48" s="16"/>
      <c r="I48" s="67"/>
      <c r="J48" s="67"/>
    </row>
    <row r="49" spans="1:10" ht="13.5" customHeight="1">
      <c r="A49" s="385" t="s">
        <v>1894</v>
      </c>
      <c r="B49" s="385"/>
      <c r="C49" s="385"/>
      <c r="D49" s="385"/>
      <c r="E49" s="385"/>
      <c r="F49" s="385"/>
      <c r="G49" s="15">
        <v>41</v>
      </c>
      <c r="H49" s="16"/>
      <c r="I49" s="67"/>
      <c r="J49" s="67"/>
    </row>
    <row r="50" spans="1:10" ht="13.5" customHeight="1">
      <c r="A50" s="385" t="s">
        <v>1895</v>
      </c>
      <c r="B50" s="385"/>
      <c r="C50" s="385"/>
      <c r="D50" s="385"/>
      <c r="E50" s="385"/>
      <c r="F50" s="385"/>
      <c r="G50" s="15">
        <v>42</v>
      </c>
      <c r="H50" s="16"/>
      <c r="I50" s="67"/>
      <c r="J50" s="67"/>
    </row>
    <row r="51" spans="1:10" ht="13.5" customHeight="1">
      <c r="A51" s="385" t="s">
        <v>1896</v>
      </c>
      <c r="B51" s="385"/>
      <c r="C51" s="385"/>
      <c r="D51" s="385"/>
      <c r="E51" s="385"/>
      <c r="F51" s="385"/>
      <c r="G51" s="15">
        <v>43</v>
      </c>
      <c r="H51" s="16"/>
      <c r="I51" s="67"/>
      <c r="J51" s="67"/>
    </row>
    <row r="52" spans="1:10" ht="13.5" customHeight="1">
      <c r="A52" s="385" t="s">
        <v>1897</v>
      </c>
      <c r="B52" s="385"/>
      <c r="C52" s="385"/>
      <c r="D52" s="385"/>
      <c r="E52" s="385"/>
      <c r="F52" s="385"/>
      <c r="G52" s="15">
        <v>44</v>
      </c>
      <c r="H52" s="16"/>
      <c r="I52" s="67"/>
      <c r="J52" s="67"/>
    </row>
    <row r="53" spans="1:10" ht="13.5" customHeight="1">
      <c r="A53" s="385" t="s">
        <v>2006</v>
      </c>
      <c r="B53" s="385"/>
      <c r="C53" s="385"/>
      <c r="D53" s="385"/>
      <c r="E53" s="385"/>
      <c r="F53" s="385"/>
      <c r="G53" s="15">
        <v>45</v>
      </c>
      <c r="H53" s="16"/>
      <c r="I53" s="67"/>
      <c r="J53" s="67"/>
    </row>
    <row r="54" spans="1:10" ht="13.5" customHeight="1">
      <c r="A54" s="386" t="s">
        <v>1265</v>
      </c>
      <c r="B54" s="386"/>
      <c r="C54" s="386"/>
      <c r="D54" s="386"/>
      <c r="E54" s="386"/>
      <c r="F54" s="386"/>
      <c r="G54" s="15">
        <v>46</v>
      </c>
      <c r="H54" s="16"/>
      <c r="I54" s="66">
        <f>SUM(I55:I60)</f>
        <v>3651217</v>
      </c>
      <c r="J54" s="66">
        <f>SUM(J55:J60)</f>
        <v>3173619</v>
      </c>
    </row>
    <row r="55" spans="1:10" ht="13.5" customHeight="1">
      <c r="A55" s="385" t="s">
        <v>2007</v>
      </c>
      <c r="B55" s="385"/>
      <c r="C55" s="385"/>
      <c r="D55" s="385"/>
      <c r="E55" s="385"/>
      <c r="F55" s="385"/>
      <c r="G55" s="15">
        <v>47</v>
      </c>
      <c r="H55" s="16"/>
      <c r="I55" s="67">
        <v>393703</v>
      </c>
      <c r="J55" s="67">
        <v>357949</v>
      </c>
    </row>
    <row r="56" spans="1:10" ht="13.5" customHeight="1">
      <c r="A56" s="385" t="s">
        <v>2008</v>
      </c>
      <c r="B56" s="385"/>
      <c r="C56" s="385"/>
      <c r="D56" s="385"/>
      <c r="E56" s="385"/>
      <c r="F56" s="385"/>
      <c r="G56" s="15">
        <v>48</v>
      </c>
      <c r="H56" s="16"/>
      <c r="I56" s="67"/>
      <c r="J56" s="67"/>
    </row>
    <row r="57" spans="1:10" ht="13.5" customHeight="1">
      <c r="A57" s="385" t="s">
        <v>1253</v>
      </c>
      <c r="B57" s="385"/>
      <c r="C57" s="385"/>
      <c r="D57" s="385"/>
      <c r="E57" s="385"/>
      <c r="F57" s="385"/>
      <c r="G57" s="15">
        <v>49</v>
      </c>
      <c r="H57" s="16"/>
      <c r="I57" s="67">
        <v>2470012</v>
      </c>
      <c r="J57" s="67">
        <v>1931283</v>
      </c>
    </row>
    <row r="58" spans="1:10" ht="13.5" customHeight="1">
      <c r="A58" s="385" t="s">
        <v>2009</v>
      </c>
      <c r="B58" s="385"/>
      <c r="C58" s="385"/>
      <c r="D58" s="385"/>
      <c r="E58" s="385"/>
      <c r="F58" s="385"/>
      <c r="G58" s="15">
        <v>50</v>
      </c>
      <c r="H58" s="16"/>
      <c r="I58" s="67"/>
      <c r="J58" s="67"/>
    </row>
    <row r="59" spans="1:10" ht="13.5" customHeight="1">
      <c r="A59" s="385" t="s">
        <v>2010</v>
      </c>
      <c r="B59" s="385"/>
      <c r="C59" s="385"/>
      <c r="D59" s="385"/>
      <c r="E59" s="385"/>
      <c r="F59" s="385"/>
      <c r="G59" s="15">
        <v>51</v>
      </c>
      <c r="H59" s="16"/>
      <c r="I59" s="67">
        <v>727933</v>
      </c>
      <c r="J59" s="67">
        <v>810301</v>
      </c>
    </row>
    <row r="60" spans="1:10" ht="13.5" customHeight="1">
      <c r="A60" s="385" t="s">
        <v>1255</v>
      </c>
      <c r="B60" s="385"/>
      <c r="C60" s="385"/>
      <c r="D60" s="385"/>
      <c r="E60" s="385"/>
      <c r="F60" s="385"/>
      <c r="G60" s="15">
        <v>52</v>
      </c>
      <c r="H60" s="16"/>
      <c r="I60" s="67">
        <v>59569</v>
      </c>
      <c r="J60" s="67">
        <v>74086</v>
      </c>
    </row>
    <row r="61" spans="1:10" ht="13.5" customHeight="1">
      <c r="A61" s="386" t="s">
        <v>1266</v>
      </c>
      <c r="B61" s="386"/>
      <c r="C61" s="386"/>
      <c r="D61" s="386"/>
      <c r="E61" s="386"/>
      <c r="F61" s="386"/>
      <c r="G61" s="15">
        <v>53</v>
      </c>
      <c r="H61" s="16"/>
      <c r="I61" s="66">
        <f>SUM(I62:I70)</f>
        <v>3000</v>
      </c>
      <c r="J61" s="66">
        <f>SUM(J62:J70)</f>
        <v>0</v>
      </c>
    </row>
    <row r="62" spans="1:10" ht="13.5" customHeight="1">
      <c r="A62" s="385" t="s">
        <v>705</v>
      </c>
      <c r="B62" s="385"/>
      <c r="C62" s="385"/>
      <c r="D62" s="385"/>
      <c r="E62" s="385"/>
      <c r="F62" s="385"/>
      <c r="G62" s="15">
        <v>54</v>
      </c>
      <c r="H62" s="16"/>
      <c r="I62" s="67"/>
      <c r="J62" s="67"/>
    </row>
    <row r="63" spans="1:10" ht="13.5" customHeight="1">
      <c r="A63" s="385" t="s">
        <v>706</v>
      </c>
      <c r="B63" s="385"/>
      <c r="C63" s="385"/>
      <c r="D63" s="385"/>
      <c r="E63" s="385"/>
      <c r="F63" s="385"/>
      <c r="G63" s="15">
        <v>55</v>
      </c>
      <c r="H63" s="16"/>
      <c r="I63" s="67"/>
      <c r="J63" s="67"/>
    </row>
    <row r="64" spans="1:10" ht="13.5" customHeight="1">
      <c r="A64" s="385" t="s">
        <v>707</v>
      </c>
      <c r="B64" s="385"/>
      <c r="C64" s="385"/>
      <c r="D64" s="385"/>
      <c r="E64" s="385"/>
      <c r="F64" s="385"/>
      <c r="G64" s="15">
        <v>56</v>
      </c>
      <c r="H64" s="16"/>
      <c r="I64" s="67"/>
      <c r="J64" s="67"/>
    </row>
    <row r="65" spans="1:10" ht="24.75" customHeight="1">
      <c r="A65" s="385" t="s">
        <v>1997</v>
      </c>
      <c r="B65" s="385"/>
      <c r="C65" s="385"/>
      <c r="D65" s="385"/>
      <c r="E65" s="385"/>
      <c r="F65" s="385"/>
      <c r="G65" s="15">
        <v>57</v>
      </c>
      <c r="H65" s="16"/>
      <c r="I65" s="67"/>
      <c r="J65" s="67"/>
    </row>
    <row r="66" spans="1:10" ht="24.75" customHeight="1">
      <c r="A66" s="385" t="s">
        <v>882</v>
      </c>
      <c r="B66" s="385"/>
      <c r="C66" s="385"/>
      <c r="D66" s="385"/>
      <c r="E66" s="385"/>
      <c r="F66" s="385"/>
      <c r="G66" s="15">
        <v>58</v>
      </c>
      <c r="H66" s="16"/>
      <c r="I66" s="67"/>
      <c r="J66" s="67"/>
    </row>
    <row r="67" spans="1:10" ht="24.75" customHeight="1">
      <c r="A67" s="385" t="s">
        <v>1996</v>
      </c>
      <c r="B67" s="385"/>
      <c r="C67" s="385"/>
      <c r="D67" s="385"/>
      <c r="E67" s="385"/>
      <c r="F67" s="385"/>
      <c r="G67" s="15">
        <v>59</v>
      </c>
      <c r="H67" s="16"/>
      <c r="I67" s="67"/>
      <c r="J67" s="67"/>
    </row>
    <row r="68" spans="1:10" ht="13.5" customHeight="1">
      <c r="A68" s="385" t="s">
        <v>708</v>
      </c>
      <c r="B68" s="385"/>
      <c r="C68" s="385"/>
      <c r="D68" s="385"/>
      <c r="E68" s="385"/>
      <c r="F68" s="385"/>
      <c r="G68" s="15">
        <v>60</v>
      </c>
      <c r="H68" s="16"/>
      <c r="I68" s="67"/>
      <c r="J68" s="67"/>
    </row>
    <row r="69" spans="1:10" ht="13.5" customHeight="1">
      <c r="A69" s="385" t="s">
        <v>709</v>
      </c>
      <c r="B69" s="385"/>
      <c r="C69" s="385"/>
      <c r="D69" s="385"/>
      <c r="E69" s="385"/>
      <c r="F69" s="385"/>
      <c r="G69" s="15">
        <v>61</v>
      </c>
      <c r="H69" s="16"/>
      <c r="I69" s="67">
        <v>3000</v>
      </c>
      <c r="J69" s="67"/>
    </row>
    <row r="70" spans="1:10" ht="13.5" customHeight="1">
      <c r="A70" s="385" t="s">
        <v>161</v>
      </c>
      <c r="B70" s="385"/>
      <c r="C70" s="385"/>
      <c r="D70" s="385"/>
      <c r="E70" s="385"/>
      <c r="F70" s="385"/>
      <c r="G70" s="15">
        <v>62</v>
      </c>
      <c r="H70" s="16"/>
      <c r="I70" s="67"/>
      <c r="J70" s="67"/>
    </row>
    <row r="71" spans="1:10" ht="13.5" customHeight="1">
      <c r="A71" s="386" t="s">
        <v>2776</v>
      </c>
      <c r="B71" s="386"/>
      <c r="C71" s="386"/>
      <c r="D71" s="386"/>
      <c r="E71" s="386"/>
      <c r="F71" s="386"/>
      <c r="G71" s="15">
        <v>63</v>
      </c>
      <c r="H71" s="16"/>
      <c r="I71" s="67">
        <v>1653069</v>
      </c>
      <c r="J71" s="67">
        <v>1090874</v>
      </c>
    </row>
    <row r="72" spans="1:10" ht="24.75" customHeight="1">
      <c r="A72" s="387" t="s">
        <v>591</v>
      </c>
      <c r="B72" s="387"/>
      <c r="C72" s="387"/>
      <c r="D72" s="387"/>
      <c r="E72" s="387"/>
      <c r="F72" s="387"/>
      <c r="G72" s="15">
        <v>64</v>
      </c>
      <c r="H72" s="16"/>
      <c r="I72" s="67">
        <v>1621</v>
      </c>
      <c r="J72" s="67">
        <v>0</v>
      </c>
    </row>
    <row r="73" spans="1:10" ht="13.5" customHeight="1">
      <c r="A73" s="387" t="s">
        <v>1267</v>
      </c>
      <c r="B73" s="387"/>
      <c r="C73" s="387"/>
      <c r="D73" s="387"/>
      <c r="E73" s="387"/>
      <c r="F73" s="387"/>
      <c r="G73" s="15">
        <v>65</v>
      </c>
      <c r="H73" s="16"/>
      <c r="I73" s="66">
        <f>I9+I10+I45+I72</f>
        <v>210851956</v>
      </c>
      <c r="J73" s="66">
        <f>J9+J10+J45+J72</f>
        <v>206402181</v>
      </c>
    </row>
    <row r="74" spans="1:10" ht="13.5" customHeight="1">
      <c r="A74" s="388" t="s">
        <v>1004</v>
      </c>
      <c r="B74" s="388"/>
      <c r="C74" s="388"/>
      <c r="D74" s="388"/>
      <c r="E74" s="388"/>
      <c r="F74" s="388"/>
      <c r="G74" s="17">
        <v>66</v>
      </c>
      <c r="H74" s="18"/>
      <c r="I74" s="68">
        <v>29740269</v>
      </c>
      <c r="J74" s="68">
        <v>29190269</v>
      </c>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c r="I76" s="66">
        <f>I77+I78+I79+I85+I86+I92+I95+I98</f>
        <v>27088315</v>
      </c>
      <c r="J76" s="66">
        <f>J77+J78+J79+J85+J86+J92+J95+J98</f>
        <v>27115338</v>
      </c>
      <c r="L76" s="2" t="s">
        <v>1209</v>
      </c>
    </row>
    <row r="77" spans="1:10" ht="13.5" customHeight="1">
      <c r="A77" s="386" t="s">
        <v>1857</v>
      </c>
      <c r="B77" s="386"/>
      <c r="C77" s="386"/>
      <c r="D77" s="386"/>
      <c r="E77" s="386"/>
      <c r="F77" s="386"/>
      <c r="G77" s="15">
        <v>68</v>
      </c>
      <c r="H77" s="16"/>
      <c r="I77" s="67">
        <v>21076400</v>
      </c>
      <c r="J77" s="67">
        <v>21076400</v>
      </c>
    </row>
    <row r="78" spans="1:12" ht="13.5" customHeight="1">
      <c r="A78" s="386" t="s">
        <v>1858</v>
      </c>
      <c r="B78" s="386"/>
      <c r="C78" s="386"/>
      <c r="D78" s="386"/>
      <c r="E78" s="386"/>
      <c r="F78" s="386"/>
      <c r="G78" s="15">
        <v>69</v>
      </c>
      <c r="H78" s="16"/>
      <c r="I78" s="67">
        <v>5388388</v>
      </c>
      <c r="J78" s="67">
        <v>5388388</v>
      </c>
      <c r="L78" s="2" t="s">
        <v>1209</v>
      </c>
    </row>
    <row r="79" spans="1:12" ht="13.5" customHeight="1">
      <c r="A79" s="386" t="s">
        <v>673</v>
      </c>
      <c r="B79" s="386"/>
      <c r="C79" s="386"/>
      <c r="D79" s="386"/>
      <c r="E79" s="386"/>
      <c r="F79" s="386"/>
      <c r="G79" s="15">
        <v>70</v>
      </c>
      <c r="H79" s="16"/>
      <c r="I79" s="66">
        <f>I80+I81-I82+I83+I84</f>
        <v>0</v>
      </c>
      <c r="J79" s="66">
        <f>J80+J81-J82+J83+J84</f>
        <v>0</v>
      </c>
      <c r="L79" s="2" t="s">
        <v>1209</v>
      </c>
    </row>
    <row r="80" spans="1:12" ht="13.5" customHeight="1">
      <c r="A80" s="385" t="s">
        <v>1258</v>
      </c>
      <c r="B80" s="385"/>
      <c r="C80" s="385"/>
      <c r="D80" s="385"/>
      <c r="E80" s="385"/>
      <c r="F80" s="385"/>
      <c r="G80" s="15">
        <v>71</v>
      </c>
      <c r="H80" s="16"/>
      <c r="I80" s="67"/>
      <c r="J80" s="67"/>
      <c r="L80" s="2" t="s">
        <v>1209</v>
      </c>
    </row>
    <row r="81" spans="1:12" ht="13.5" customHeight="1">
      <c r="A81" s="385" t="s">
        <v>1259</v>
      </c>
      <c r="B81" s="385"/>
      <c r="C81" s="385"/>
      <c r="D81" s="385"/>
      <c r="E81" s="385"/>
      <c r="F81" s="385"/>
      <c r="G81" s="15">
        <v>72</v>
      </c>
      <c r="H81" s="16"/>
      <c r="I81" s="67"/>
      <c r="J81" s="67"/>
      <c r="L81" s="2" t="s">
        <v>1209</v>
      </c>
    </row>
    <row r="82" spans="1:12" ht="13.5" customHeight="1">
      <c r="A82" s="385" t="s">
        <v>2825</v>
      </c>
      <c r="B82" s="385"/>
      <c r="C82" s="385"/>
      <c r="D82" s="385"/>
      <c r="E82" s="385"/>
      <c r="F82" s="385"/>
      <c r="G82" s="15">
        <v>73</v>
      </c>
      <c r="H82" s="16"/>
      <c r="I82" s="67"/>
      <c r="J82" s="67"/>
      <c r="L82" s="2" t="s">
        <v>1209</v>
      </c>
    </row>
    <row r="83" spans="1:12" ht="13.5" customHeight="1">
      <c r="A83" s="385" t="s">
        <v>2826</v>
      </c>
      <c r="B83" s="385"/>
      <c r="C83" s="385"/>
      <c r="D83" s="385"/>
      <c r="E83" s="385"/>
      <c r="F83" s="385"/>
      <c r="G83" s="15">
        <v>74</v>
      </c>
      <c r="H83" s="16"/>
      <c r="I83" s="67"/>
      <c r="J83" s="67"/>
      <c r="L83" s="2" t="s">
        <v>1209</v>
      </c>
    </row>
    <row r="84" spans="1:12" ht="13.5" customHeight="1">
      <c r="A84" s="385" t="s">
        <v>2827</v>
      </c>
      <c r="B84" s="385"/>
      <c r="C84" s="385"/>
      <c r="D84" s="385"/>
      <c r="E84" s="385"/>
      <c r="F84" s="385"/>
      <c r="G84" s="15">
        <v>75</v>
      </c>
      <c r="H84" s="16"/>
      <c r="I84" s="67"/>
      <c r="J84" s="67"/>
      <c r="L84" s="2" t="s">
        <v>1209</v>
      </c>
    </row>
    <row r="85" spans="1:12" ht="13.5" customHeight="1">
      <c r="A85" s="386" t="s">
        <v>2405</v>
      </c>
      <c r="B85" s="386"/>
      <c r="C85" s="386"/>
      <c r="D85" s="386"/>
      <c r="E85" s="386"/>
      <c r="F85" s="386"/>
      <c r="G85" s="15">
        <v>76</v>
      </c>
      <c r="H85" s="16"/>
      <c r="I85" s="67">
        <v>413</v>
      </c>
      <c r="J85" s="67">
        <v>413</v>
      </c>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c r="J87" s="67"/>
      <c r="L87" s="2" t="s">
        <v>1209</v>
      </c>
    </row>
    <row r="88" spans="1:12" ht="13.5" customHeight="1">
      <c r="A88" s="385" t="s">
        <v>2828</v>
      </c>
      <c r="B88" s="385"/>
      <c r="C88" s="385"/>
      <c r="D88" s="385"/>
      <c r="E88" s="385"/>
      <c r="F88" s="385"/>
      <c r="G88" s="15">
        <v>79</v>
      </c>
      <c r="H88" s="16"/>
      <c r="I88" s="67"/>
      <c r="J88" s="67"/>
      <c r="L88" s="2" t="s">
        <v>1209</v>
      </c>
    </row>
    <row r="89" spans="1:12" ht="13.5" customHeight="1">
      <c r="A89" s="385" t="s">
        <v>2829</v>
      </c>
      <c r="B89" s="385"/>
      <c r="C89" s="385"/>
      <c r="D89" s="385"/>
      <c r="E89" s="385"/>
      <c r="F89" s="385"/>
      <c r="G89" s="15">
        <v>80</v>
      </c>
      <c r="H89" s="16"/>
      <c r="I89" s="67"/>
      <c r="J89" s="67"/>
      <c r="L89" s="2" t="s">
        <v>1209</v>
      </c>
    </row>
    <row r="90" spans="1:12" ht="13.5" customHeight="1">
      <c r="A90" s="385" t="s">
        <v>2485</v>
      </c>
      <c r="B90" s="385"/>
      <c r="C90" s="385"/>
      <c r="D90" s="385"/>
      <c r="E90" s="385"/>
      <c r="F90" s="385"/>
      <c r="G90" s="15">
        <v>81</v>
      </c>
      <c r="H90" s="16"/>
      <c r="I90" s="67"/>
      <c r="J90" s="67"/>
      <c r="L90" s="2" t="s">
        <v>1209</v>
      </c>
    </row>
    <row r="91" spans="1:12" ht="25.5" customHeight="1">
      <c r="A91" s="385" t="s">
        <v>343</v>
      </c>
      <c r="B91" s="385"/>
      <c r="C91" s="385"/>
      <c r="D91" s="385"/>
      <c r="E91" s="385"/>
      <c r="F91" s="385"/>
      <c r="G91" s="15">
        <v>82</v>
      </c>
      <c r="H91" s="16"/>
      <c r="I91" s="67"/>
      <c r="J91" s="67"/>
      <c r="L91" s="2" t="s">
        <v>1209</v>
      </c>
    </row>
    <row r="92" spans="1:12" ht="13.5" customHeight="1">
      <c r="A92" s="386" t="s">
        <v>2486</v>
      </c>
      <c r="B92" s="386"/>
      <c r="C92" s="386"/>
      <c r="D92" s="386"/>
      <c r="E92" s="386"/>
      <c r="F92" s="386"/>
      <c r="G92" s="15">
        <v>83</v>
      </c>
      <c r="H92" s="16"/>
      <c r="I92" s="66">
        <f>I93-I94</f>
        <v>615016</v>
      </c>
      <c r="J92" s="66">
        <f>J93-J94</f>
        <v>623114</v>
      </c>
      <c r="L92" s="2" t="s">
        <v>1209</v>
      </c>
    </row>
    <row r="93" spans="1:10" ht="13.5" customHeight="1">
      <c r="A93" s="385" t="s">
        <v>2830</v>
      </c>
      <c r="B93" s="385"/>
      <c r="C93" s="385"/>
      <c r="D93" s="385"/>
      <c r="E93" s="385"/>
      <c r="F93" s="385"/>
      <c r="G93" s="15">
        <v>84</v>
      </c>
      <c r="H93" s="16"/>
      <c r="I93" s="67">
        <v>615016</v>
      </c>
      <c r="J93" s="67">
        <v>623114</v>
      </c>
    </row>
    <row r="94" spans="1:10" ht="13.5" customHeight="1">
      <c r="A94" s="385" t="s">
        <v>2831</v>
      </c>
      <c r="B94" s="385"/>
      <c r="C94" s="385"/>
      <c r="D94" s="385"/>
      <c r="E94" s="385"/>
      <c r="F94" s="385"/>
      <c r="G94" s="15">
        <v>85</v>
      </c>
      <c r="H94" s="16"/>
      <c r="I94" s="67"/>
      <c r="J94" s="67"/>
    </row>
    <row r="95" spans="1:12" ht="13.5" customHeight="1">
      <c r="A95" s="386" t="s">
        <v>2487</v>
      </c>
      <c r="B95" s="386"/>
      <c r="C95" s="386"/>
      <c r="D95" s="386"/>
      <c r="E95" s="386"/>
      <c r="F95" s="386"/>
      <c r="G95" s="15">
        <v>86</v>
      </c>
      <c r="H95" s="16"/>
      <c r="I95" s="66">
        <f>I96-I97</f>
        <v>8098</v>
      </c>
      <c r="J95" s="66">
        <f>J96-J97</f>
        <v>27023</v>
      </c>
      <c r="L95" s="2" t="s">
        <v>1209</v>
      </c>
    </row>
    <row r="96" spans="1:10" ht="13.5" customHeight="1">
      <c r="A96" s="385" t="s">
        <v>1257</v>
      </c>
      <c r="B96" s="385"/>
      <c r="C96" s="385"/>
      <c r="D96" s="385"/>
      <c r="E96" s="385"/>
      <c r="F96" s="385"/>
      <c r="G96" s="15">
        <v>87</v>
      </c>
      <c r="H96" s="16"/>
      <c r="I96" s="67">
        <v>8098</v>
      </c>
      <c r="J96" s="67">
        <v>27023</v>
      </c>
    </row>
    <row r="97" spans="1:10" ht="13.5" customHeight="1">
      <c r="A97" s="385" t="s">
        <v>2832</v>
      </c>
      <c r="B97" s="385"/>
      <c r="C97" s="385"/>
      <c r="D97" s="385"/>
      <c r="E97" s="385"/>
      <c r="F97" s="385"/>
      <c r="G97" s="15">
        <v>88</v>
      </c>
      <c r="H97" s="16"/>
      <c r="I97" s="67"/>
      <c r="J97" s="67"/>
    </row>
    <row r="98" spans="1:12" ht="13.5" customHeight="1">
      <c r="A98" s="386" t="s">
        <v>748</v>
      </c>
      <c r="B98" s="386"/>
      <c r="C98" s="386"/>
      <c r="D98" s="386"/>
      <c r="E98" s="386"/>
      <c r="F98" s="386"/>
      <c r="G98" s="15">
        <v>89</v>
      </c>
      <c r="H98" s="16"/>
      <c r="I98" s="67"/>
      <c r="J98" s="67"/>
      <c r="L98" s="2" t="s">
        <v>1209</v>
      </c>
    </row>
    <row r="99" spans="1:10" ht="13.5" customHeight="1">
      <c r="A99" s="387" t="s">
        <v>2488</v>
      </c>
      <c r="B99" s="387"/>
      <c r="C99" s="387"/>
      <c r="D99" s="387"/>
      <c r="E99" s="387"/>
      <c r="F99" s="387"/>
      <c r="G99" s="15">
        <v>90</v>
      </c>
      <c r="H99" s="16"/>
      <c r="I99" s="66">
        <f>SUM(I100:I105)</f>
        <v>352230</v>
      </c>
      <c r="J99" s="66">
        <f>SUM(J100:J105)</f>
        <v>328745</v>
      </c>
    </row>
    <row r="100" spans="1:10" ht="13.5" customHeight="1">
      <c r="A100" s="385" t="s">
        <v>0</v>
      </c>
      <c r="B100" s="385"/>
      <c r="C100" s="385"/>
      <c r="D100" s="385"/>
      <c r="E100" s="385"/>
      <c r="F100" s="385"/>
      <c r="G100" s="15">
        <v>91</v>
      </c>
      <c r="H100" s="16"/>
      <c r="I100" s="67"/>
      <c r="J100" s="67"/>
    </row>
    <row r="101" spans="1:10" ht="13.5" customHeight="1">
      <c r="A101" s="385" t="s">
        <v>1</v>
      </c>
      <c r="B101" s="385"/>
      <c r="C101" s="385"/>
      <c r="D101" s="385"/>
      <c r="E101" s="385"/>
      <c r="F101" s="385"/>
      <c r="G101" s="15">
        <v>92</v>
      </c>
      <c r="H101" s="16"/>
      <c r="I101" s="67"/>
      <c r="J101" s="67"/>
    </row>
    <row r="102" spans="1:10" ht="13.5" customHeight="1">
      <c r="A102" s="385" t="s">
        <v>1256</v>
      </c>
      <c r="B102" s="385"/>
      <c r="C102" s="385"/>
      <c r="D102" s="385"/>
      <c r="E102" s="385"/>
      <c r="F102" s="385"/>
      <c r="G102" s="15">
        <v>93</v>
      </c>
      <c r="H102" s="16"/>
      <c r="I102" s="67">
        <v>348976</v>
      </c>
      <c r="J102" s="67">
        <v>328745</v>
      </c>
    </row>
    <row r="103" spans="1:10" ht="13.5" customHeight="1">
      <c r="A103" s="385" t="s">
        <v>2833</v>
      </c>
      <c r="B103" s="385"/>
      <c r="C103" s="385"/>
      <c r="D103" s="385"/>
      <c r="E103" s="385"/>
      <c r="F103" s="385"/>
      <c r="G103" s="15">
        <v>94</v>
      </c>
      <c r="H103" s="16"/>
      <c r="I103" s="67"/>
      <c r="J103" s="67"/>
    </row>
    <row r="104" spans="1:10" ht="13.5" customHeight="1">
      <c r="A104" s="385" t="s">
        <v>1270</v>
      </c>
      <c r="B104" s="385"/>
      <c r="C104" s="385"/>
      <c r="D104" s="385"/>
      <c r="E104" s="385"/>
      <c r="F104" s="385"/>
      <c r="G104" s="15">
        <v>95</v>
      </c>
      <c r="H104" s="16"/>
      <c r="I104" s="67"/>
      <c r="J104" s="67"/>
    </row>
    <row r="105" spans="1:10" ht="13.5" customHeight="1">
      <c r="A105" s="385" t="s">
        <v>749</v>
      </c>
      <c r="B105" s="385"/>
      <c r="C105" s="385"/>
      <c r="D105" s="385"/>
      <c r="E105" s="385"/>
      <c r="F105" s="385"/>
      <c r="G105" s="15">
        <v>96</v>
      </c>
      <c r="H105" s="16"/>
      <c r="I105" s="67">
        <v>3254</v>
      </c>
      <c r="J105" s="67">
        <v>0</v>
      </c>
    </row>
    <row r="106" spans="1:10" ht="13.5" customHeight="1">
      <c r="A106" s="387" t="s">
        <v>2489</v>
      </c>
      <c r="B106" s="387"/>
      <c r="C106" s="387"/>
      <c r="D106" s="387"/>
      <c r="E106" s="387"/>
      <c r="F106" s="387"/>
      <c r="G106" s="15">
        <v>97</v>
      </c>
      <c r="H106" s="16"/>
      <c r="I106" s="66">
        <f>SUM(I107:I117)</f>
        <v>5476967</v>
      </c>
      <c r="J106" s="66">
        <f>SUM(J107:J117)</f>
        <v>2529650</v>
      </c>
    </row>
    <row r="107" spans="1:10" ht="13.5" customHeight="1">
      <c r="A107" s="385" t="s">
        <v>750</v>
      </c>
      <c r="B107" s="385"/>
      <c r="C107" s="385"/>
      <c r="D107" s="385"/>
      <c r="E107" s="385"/>
      <c r="F107" s="385"/>
      <c r="G107" s="15">
        <v>98</v>
      </c>
      <c r="H107" s="16"/>
      <c r="I107" s="67"/>
      <c r="J107" s="67"/>
    </row>
    <row r="108" spans="1:10" ht="13.5" customHeight="1">
      <c r="A108" s="385" t="s">
        <v>2015</v>
      </c>
      <c r="B108" s="385"/>
      <c r="C108" s="385"/>
      <c r="D108" s="385"/>
      <c r="E108" s="385"/>
      <c r="F108" s="385"/>
      <c r="G108" s="15">
        <v>99</v>
      </c>
      <c r="H108" s="16"/>
      <c r="I108" s="67"/>
      <c r="J108" s="67"/>
    </row>
    <row r="109" spans="1:10" ht="13.5" customHeight="1">
      <c r="A109" s="385" t="s">
        <v>2019</v>
      </c>
      <c r="B109" s="385"/>
      <c r="C109" s="385"/>
      <c r="D109" s="385"/>
      <c r="E109" s="385"/>
      <c r="F109" s="385"/>
      <c r="G109" s="15">
        <v>100</v>
      </c>
      <c r="H109" s="16"/>
      <c r="I109" s="67"/>
      <c r="J109" s="67"/>
    </row>
    <row r="110" spans="1:10" ht="24.75" customHeight="1">
      <c r="A110" s="385" t="s">
        <v>592</v>
      </c>
      <c r="B110" s="385"/>
      <c r="C110" s="385"/>
      <c r="D110" s="385"/>
      <c r="E110" s="385"/>
      <c r="F110" s="385"/>
      <c r="G110" s="15">
        <v>101</v>
      </c>
      <c r="H110" s="16"/>
      <c r="I110" s="67">
        <v>5410004</v>
      </c>
      <c r="J110" s="67">
        <v>2462687</v>
      </c>
    </row>
    <row r="111" spans="1:10" ht="13.5" customHeight="1">
      <c r="A111" s="385" t="s">
        <v>2020</v>
      </c>
      <c r="B111" s="385"/>
      <c r="C111" s="385"/>
      <c r="D111" s="385"/>
      <c r="E111" s="385"/>
      <c r="F111" s="385"/>
      <c r="G111" s="15">
        <v>102</v>
      </c>
      <c r="H111" s="16"/>
      <c r="I111" s="67"/>
      <c r="J111" s="67"/>
    </row>
    <row r="112" spans="1:10" ht="13.5" customHeight="1">
      <c r="A112" s="385" t="s">
        <v>2021</v>
      </c>
      <c r="B112" s="385"/>
      <c r="C112" s="385"/>
      <c r="D112" s="385"/>
      <c r="E112" s="385"/>
      <c r="F112" s="385"/>
      <c r="G112" s="15">
        <v>103</v>
      </c>
      <c r="H112" s="16"/>
      <c r="I112" s="67"/>
      <c r="J112" s="67"/>
    </row>
    <row r="113" spans="1:10" ht="13.5" customHeight="1">
      <c r="A113" s="385" t="s">
        <v>2016</v>
      </c>
      <c r="B113" s="385"/>
      <c r="C113" s="385"/>
      <c r="D113" s="385"/>
      <c r="E113" s="385"/>
      <c r="F113" s="385"/>
      <c r="G113" s="15">
        <v>104</v>
      </c>
      <c r="H113" s="16"/>
      <c r="I113" s="67"/>
      <c r="J113" s="67"/>
    </row>
    <row r="114" spans="1:10" ht="13.5" customHeight="1">
      <c r="A114" s="385" t="s">
        <v>2017</v>
      </c>
      <c r="B114" s="385"/>
      <c r="C114" s="385"/>
      <c r="D114" s="385"/>
      <c r="E114" s="385"/>
      <c r="F114" s="385"/>
      <c r="G114" s="15">
        <v>105</v>
      </c>
      <c r="H114" s="16"/>
      <c r="I114" s="67"/>
      <c r="J114" s="67"/>
    </row>
    <row r="115" spans="1:10" ht="13.5" customHeight="1">
      <c r="A115" s="385" t="s">
        <v>2018</v>
      </c>
      <c r="B115" s="385"/>
      <c r="C115" s="385"/>
      <c r="D115" s="385"/>
      <c r="E115" s="385"/>
      <c r="F115" s="385"/>
      <c r="G115" s="15">
        <v>106</v>
      </c>
      <c r="H115" s="16"/>
      <c r="I115" s="67"/>
      <c r="J115" s="67"/>
    </row>
    <row r="116" spans="1:10" ht="13.5" customHeight="1">
      <c r="A116" s="385" t="s">
        <v>1271</v>
      </c>
      <c r="B116" s="385"/>
      <c r="C116" s="385"/>
      <c r="D116" s="385"/>
      <c r="E116" s="385"/>
      <c r="F116" s="385"/>
      <c r="G116" s="15">
        <v>107</v>
      </c>
      <c r="H116" s="16"/>
      <c r="I116" s="67">
        <v>66963</v>
      </c>
      <c r="J116" s="67">
        <v>66963</v>
      </c>
    </row>
    <row r="117" spans="1:10" ht="13.5" customHeight="1">
      <c r="A117" s="385" t="s">
        <v>1272</v>
      </c>
      <c r="B117" s="385"/>
      <c r="C117" s="385"/>
      <c r="D117" s="385"/>
      <c r="E117" s="385"/>
      <c r="F117" s="385"/>
      <c r="G117" s="15">
        <v>108</v>
      </c>
      <c r="H117" s="16"/>
      <c r="I117" s="67"/>
      <c r="J117" s="67"/>
    </row>
    <row r="118" spans="1:10" ht="13.5" customHeight="1">
      <c r="A118" s="387" t="s">
        <v>2490</v>
      </c>
      <c r="B118" s="387"/>
      <c r="C118" s="387"/>
      <c r="D118" s="387"/>
      <c r="E118" s="387"/>
      <c r="F118" s="387"/>
      <c r="G118" s="15">
        <v>109</v>
      </c>
      <c r="H118" s="16"/>
      <c r="I118" s="66">
        <f>SUM(I119:I132)</f>
        <v>8076158</v>
      </c>
      <c r="J118" s="66">
        <f>SUM(J119:J132)</f>
        <v>6861916</v>
      </c>
    </row>
    <row r="119" spans="1:10" ht="13.5" customHeight="1">
      <c r="A119" s="385" t="s">
        <v>750</v>
      </c>
      <c r="B119" s="385"/>
      <c r="C119" s="385"/>
      <c r="D119" s="385"/>
      <c r="E119" s="385"/>
      <c r="F119" s="385"/>
      <c r="G119" s="15">
        <v>110</v>
      </c>
      <c r="H119" s="16"/>
      <c r="I119" s="67">
        <v>2702</v>
      </c>
      <c r="J119" s="67">
        <v>4432</v>
      </c>
    </row>
    <row r="120" spans="1:10" ht="13.5" customHeight="1">
      <c r="A120" s="385" t="s">
        <v>2015</v>
      </c>
      <c r="B120" s="385"/>
      <c r="C120" s="385"/>
      <c r="D120" s="385"/>
      <c r="E120" s="385"/>
      <c r="F120" s="385"/>
      <c r="G120" s="15">
        <v>111</v>
      </c>
      <c r="H120" s="16"/>
      <c r="I120" s="67"/>
      <c r="J120" s="67"/>
    </row>
    <row r="121" spans="1:10" ht="13.5" customHeight="1">
      <c r="A121" s="385" t="s">
        <v>2019</v>
      </c>
      <c r="B121" s="385"/>
      <c r="C121" s="385"/>
      <c r="D121" s="385"/>
      <c r="E121" s="385"/>
      <c r="F121" s="385"/>
      <c r="G121" s="15">
        <v>112</v>
      </c>
      <c r="H121" s="16"/>
      <c r="I121" s="67"/>
      <c r="J121" s="67"/>
    </row>
    <row r="122" spans="1:10" ht="24.75" customHeight="1">
      <c r="A122" s="385" t="s">
        <v>592</v>
      </c>
      <c r="B122" s="385"/>
      <c r="C122" s="385"/>
      <c r="D122" s="385"/>
      <c r="E122" s="385"/>
      <c r="F122" s="385"/>
      <c r="G122" s="15">
        <v>113</v>
      </c>
      <c r="H122" s="16"/>
      <c r="I122" s="67"/>
      <c r="J122" s="67"/>
    </row>
    <row r="123" spans="1:10" ht="13.5" customHeight="1">
      <c r="A123" s="385" t="s">
        <v>2020</v>
      </c>
      <c r="B123" s="385"/>
      <c r="C123" s="385"/>
      <c r="D123" s="385"/>
      <c r="E123" s="385"/>
      <c r="F123" s="385"/>
      <c r="G123" s="15">
        <v>114</v>
      </c>
      <c r="H123" s="16"/>
      <c r="I123" s="67">
        <v>3139305</v>
      </c>
      <c r="J123" s="67">
        <v>2900000</v>
      </c>
    </row>
    <row r="124" spans="1:10" ht="13.5" customHeight="1">
      <c r="A124" s="385" t="s">
        <v>2021</v>
      </c>
      <c r="B124" s="385"/>
      <c r="C124" s="385"/>
      <c r="D124" s="385"/>
      <c r="E124" s="385"/>
      <c r="F124" s="385"/>
      <c r="G124" s="15">
        <v>115</v>
      </c>
      <c r="H124" s="16"/>
      <c r="I124" s="67">
        <v>423818</v>
      </c>
      <c r="J124" s="67">
        <v>72641</v>
      </c>
    </row>
    <row r="125" spans="1:10" ht="13.5" customHeight="1">
      <c r="A125" s="385" t="s">
        <v>2016</v>
      </c>
      <c r="B125" s="385"/>
      <c r="C125" s="385"/>
      <c r="D125" s="385"/>
      <c r="E125" s="385"/>
      <c r="F125" s="385"/>
      <c r="G125" s="15">
        <v>116</v>
      </c>
      <c r="H125" s="16"/>
      <c r="I125" s="67"/>
      <c r="J125" s="67"/>
    </row>
    <row r="126" spans="1:10" ht="13.5" customHeight="1">
      <c r="A126" s="385" t="s">
        <v>2017</v>
      </c>
      <c r="B126" s="385"/>
      <c r="C126" s="385"/>
      <c r="D126" s="385"/>
      <c r="E126" s="385"/>
      <c r="F126" s="385"/>
      <c r="G126" s="15">
        <v>117</v>
      </c>
      <c r="H126" s="16"/>
      <c r="I126" s="67">
        <v>1986937</v>
      </c>
      <c r="J126" s="67">
        <v>1280831</v>
      </c>
    </row>
    <row r="127" spans="1:10" ht="13.5" customHeight="1">
      <c r="A127" s="385" t="s">
        <v>2018</v>
      </c>
      <c r="B127" s="385"/>
      <c r="C127" s="385"/>
      <c r="D127" s="385"/>
      <c r="E127" s="385"/>
      <c r="F127" s="385"/>
      <c r="G127" s="15">
        <v>118</v>
      </c>
      <c r="H127" s="16"/>
      <c r="I127" s="67"/>
      <c r="J127" s="67"/>
    </row>
    <row r="128" spans="1:10" ht="13.5" customHeight="1">
      <c r="A128" s="385" t="s">
        <v>2022</v>
      </c>
      <c r="B128" s="385"/>
      <c r="C128" s="385"/>
      <c r="D128" s="385"/>
      <c r="E128" s="385"/>
      <c r="F128" s="385"/>
      <c r="G128" s="15">
        <v>119</v>
      </c>
      <c r="H128" s="16"/>
      <c r="I128" s="67">
        <v>310900</v>
      </c>
      <c r="J128" s="67">
        <v>331835</v>
      </c>
    </row>
    <row r="129" spans="1:10" ht="13.5" customHeight="1">
      <c r="A129" s="385" t="s">
        <v>2023</v>
      </c>
      <c r="B129" s="385"/>
      <c r="C129" s="385"/>
      <c r="D129" s="385"/>
      <c r="E129" s="385"/>
      <c r="F129" s="385"/>
      <c r="G129" s="15">
        <v>120</v>
      </c>
      <c r="H129" s="16"/>
      <c r="I129" s="67">
        <v>2182786</v>
      </c>
      <c r="J129" s="67">
        <v>2219587</v>
      </c>
    </row>
    <row r="130" spans="1:10" ht="13.5" customHeight="1">
      <c r="A130" s="385" t="s">
        <v>2024</v>
      </c>
      <c r="B130" s="385"/>
      <c r="C130" s="385"/>
      <c r="D130" s="385"/>
      <c r="E130" s="385"/>
      <c r="F130" s="385"/>
      <c r="G130" s="15">
        <v>121</v>
      </c>
      <c r="H130" s="16"/>
      <c r="I130" s="67"/>
      <c r="J130" s="67"/>
    </row>
    <row r="131" spans="1:10" ht="13.5" customHeight="1">
      <c r="A131" s="385" t="s">
        <v>704</v>
      </c>
      <c r="B131" s="385"/>
      <c r="C131" s="385"/>
      <c r="D131" s="385"/>
      <c r="E131" s="385"/>
      <c r="F131" s="385"/>
      <c r="G131" s="15">
        <v>122</v>
      </c>
      <c r="H131" s="16"/>
      <c r="I131" s="67"/>
      <c r="J131" s="67"/>
    </row>
    <row r="132" spans="1:10" ht="13.5" customHeight="1">
      <c r="A132" s="385" t="s">
        <v>162</v>
      </c>
      <c r="B132" s="385"/>
      <c r="C132" s="385"/>
      <c r="D132" s="385"/>
      <c r="E132" s="385"/>
      <c r="F132" s="385"/>
      <c r="G132" s="15">
        <v>123</v>
      </c>
      <c r="H132" s="16"/>
      <c r="I132" s="67">
        <v>29710</v>
      </c>
      <c r="J132" s="67">
        <v>52590</v>
      </c>
    </row>
    <row r="133" spans="1:10" ht="24.75" customHeight="1">
      <c r="A133" s="387" t="s">
        <v>593</v>
      </c>
      <c r="B133" s="387"/>
      <c r="C133" s="387"/>
      <c r="D133" s="387"/>
      <c r="E133" s="387"/>
      <c r="F133" s="387"/>
      <c r="G133" s="15">
        <v>124</v>
      </c>
      <c r="H133" s="16"/>
      <c r="I133" s="67">
        <v>169858286</v>
      </c>
      <c r="J133" s="67">
        <v>169566532</v>
      </c>
    </row>
    <row r="134" spans="1:10" ht="13.5" customHeight="1">
      <c r="A134" s="387" t="s">
        <v>360</v>
      </c>
      <c r="B134" s="387"/>
      <c r="C134" s="387"/>
      <c r="D134" s="387"/>
      <c r="E134" s="387"/>
      <c r="F134" s="387"/>
      <c r="G134" s="15">
        <v>125</v>
      </c>
      <c r="H134" s="16"/>
      <c r="I134" s="66">
        <f>I76+I99+I106+I118+I133</f>
        <v>210851956</v>
      </c>
      <c r="J134" s="66">
        <f>J76+J99+J106+J118+J133</f>
        <v>206402181</v>
      </c>
    </row>
    <row r="135" spans="1:10" ht="13.5" customHeight="1">
      <c r="A135" s="388" t="s">
        <v>1512</v>
      </c>
      <c r="B135" s="388"/>
      <c r="C135" s="388"/>
      <c r="D135" s="388"/>
      <c r="E135" s="388"/>
      <c r="F135" s="388"/>
      <c r="G135" s="17">
        <v>126</v>
      </c>
      <c r="H135" s="18"/>
      <c r="I135" s="68">
        <v>29740269</v>
      </c>
      <c r="J135" s="68">
        <v>29190269</v>
      </c>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47" activePane="bottomLeft" state="frozen"/>
      <selection pane="topLeft" activeCell="A1" sqref="A1"/>
      <selection pane="bottomLeft" activeCell="I9" sqref="I9"/>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18"/>
      <c r="C2" s="418"/>
      <c r="D2" s="418"/>
      <c r="E2" s="418"/>
      <c r="F2" s="418"/>
      <c r="G2" s="418"/>
      <c r="H2" s="418"/>
      <c r="I2" s="419"/>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01.01.2021. do 31.12.2021.</v>
      </c>
      <c r="B3" s="420"/>
      <c r="C3" s="420"/>
      <c r="D3" s="420"/>
      <c r="E3" s="420"/>
      <c r="F3" s="420"/>
      <c r="G3" s="420"/>
      <c r="H3" s="420"/>
      <c r="I3" s="421"/>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36457028007; Vrelo d.o.o.</v>
      </c>
      <c r="B5" s="416"/>
      <c r="C5" s="416"/>
      <c r="D5" s="416"/>
      <c r="E5" s="416"/>
      <c r="F5" s="416"/>
      <c r="G5" s="416"/>
      <c r="H5" s="416"/>
      <c r="I5" s="416"/>
      <c r="J5" s="417"/>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0</v>
      </c>
      <c r="R7" s="69" t="s">
        <v>634</v>
      </c>
    </row>
    <row r="8" spans="1:18" s="2" customFormat="1" ht="14.25" customHeight="1">
      <c r="A8" s="424" t="s">
        <v>2491</v>
      </c>
      <c r="B8" s="424"/>
      <c r="C8" s="424"/>
      <c r="D8" s="424"/>
      <c r="E8" s="424"/>
      <c r="F8" s="424"/>
      <c r="G8" s="13">
        <v>127</v>
      </c>
      <c r="H8" s="14"/>
      <c r="I8" s="80">
        <f>SUM(I9:I13)</f>
        <v>19366372</v>
      </c>
      <c r="J8" s="80">
        <f>SUM(J9:J13)</f>
        <v>20574968</v>
      </c>
      <c r="Q8" s="2">
        <f>IF(OR(MIN(I70:J75)&lt;&gt;0,MAX(I70:J75)&lt;&gt;0),1,0)</f>
        <v>0</v>
      </c>
      <c r="R8" s="69" t="s">
        <v>1215</v>
      </c>
    </row>
    <row r="9" spans="1:10" s="2" customFormat="1" ht="14.25" customHeight="1">
      <c r="A9" s="385" t="s">
        <v>347</v>
      </c>
      <c r="B9" s="385"/>
      <c r="C9" s="385"/>
      <c r="D9" s="385"/>
      <c r="E9" s="385"/>
      <c r="F9" s="385"/>
      <c r="G9" s="15">
        <v>128</v>
      </c>
      <c r="H9" s="16"/>
      <c r="I9" s="67">
        <v>165897</v>
      </c>
      <c r="J9" s="67">
        <v>186167</v>
      </c>
    </row>
    <row r="10" spans="1:10" s="2" customFormat="1" ht="14.25" customHeight="1">
      <c r="A10" s="385" t="s">
        <v>964</v>
      </c>
      <c r="B10" s="385"/>
      <c r="C10" s="385"/>
      <c r="D10" s="385"/>
      <c r="E10" s="385"/>
      <c r="F10" s="385"/>
      <c r="G10" s="15">
        <v>129</v>
      </c>
      <c r="H10" s="16"/>
      <c r="I10" s="67">
        <v>17286532</v>
      </c>
      <c r="J10" s="67">
        <v>18882735</v>
      </c>
    </row>
    <row r="11" spans="1:10" s="2" customFormat="1" ht="14.25" customHeight="1">
      <c r="A11" s="385" t="s">
        <v>1086</v>
      </c>
      <c r="B11" s="385"/>
      <c r="C11" s="385"/>
      <c r="D11" s="385"/>
      <c r="E11" s="385"/>
      <c r="F11" s="385"/>
      <c r="G11" s="15">
        <v>130</v>
      </c>
      <c r="H11" s="16"/>
      <c r="I11" s="67"/>
      <c r="J11" s="67"/>
    </row>
    <row r="12" spans="1:10" s="2" customFormat="1" ht="14.25" customHeight="1">
      <c r="A12" s="385" t="s">
        <v>1087</v>
      </c>
      <c r="B12" s="385"/>
      <c r="C12" s="385"/>
      <c r="D12" s="385"/>
      <c r="E12" s="385"/>
      <c r="F12" s="385"/>
      <c r="G12" s="15">
        <v>131</v>
      </c>
      <c r="H12" s="16"/>
      <c r="I12" s="67"/>
      <c r="J12" s="67"/>
    </row>
    <row r="13" spans="1:10" s="2" customFormat="1" ht="14.25" customHeight="1">
      <c r="A13" s="385" t="s">
        <v>2922</v>
      </c>
      <c r="B13" s="385"/>
      <c r="C13" s="385"/>
      <c r="D13" s="385"/>
      <c r="E13" s="385"/>
      <c r="F13" s="385"/>
      <c r="G13" s="15">
        <v>132</v>
      </c>
      <c r="H13" s="16"/>
      <c r="I13" s="67">
        <v>1913943</v>
      </c>
      <c r="J13" s="67">
        <v>1506066</v>
      </c>
    </row>
    <row r="14" spans="1:10" s="2" customFormat="1" ht="14.25" customHeight="1">
      <c r="A14" s="387" t="s">
        <v>2492</v>
      </c>
      <c r="B14" s="387"/>
      <c r="C14" s="387"/>
      <c r="D14" s="387"/>
      <c r="E14" s="387"/>
      <c r="F14" s="387"/>
      <c r="G14" s="15">
        <v>133</v>
      </c>
      <c r="H14" s="16"/>
      <c r="I14" s="66">
        <f>I15+I16+I20+I24+I25+I26+I29+I36</f>
        <v>19411615</v>
      </c>
      <c r="J14" s="66">
        <f>J15+J16+J20+J24+J25+J26+J29+J36</f>
        <v>20606963</v>
      </c>
    </row>
    <row r="15" spans="1:12" s="2" customFormat="1" ht="14.25" customHeight="1">
      <c r="A15" s="385" t="s">
        <v>1005</v>
      </c>
      <c r="B15" s="385"/>
      <c r="C15" s="385"/>
      <c r="D15" s="385"/>
      <c r="E15" s="385"/>
      <c r="F15" s="385"/>
      <c r="G15" s="15">
        <v>134</v>
      </c>
      <c r="H15" s="16"/>
      <c r="I15" s="67"/>
      <c r="J15" s="67"/>
      <c r="L15" s="2" t="s">
        <v>1209</v>
      </c>
    </row>
    <row r="16" spans="1:10" s="2" customFormat="1" ht="14.25" customHeight="1">
      <c r="A16" s="385" t="s">
        <v>2493</v>
      </c>
      <c r="B16" s="385"/>
      <c r="C16" s="385"/>
      <c r="D16" s="385"/>
      <c r="E16" s="385"/>
      <c r="F16" s="385"/>
      <c r="G16" s="15">
        <v>135</v>
      </c>
      <c r="H16" s="16"/>
      <c r="I16" s="66">
        <f>SUM(I17:I19)</f>
        <v>6673675</v>
      </c>
      <c r="J16" s="66">
        <f>SUM(J17:J19)</f>
        <v>7392112</v>
      </c>
    </row>
    <row r="17" spans="1:10" s="2" customFormat="1" ht="14.25" customHeight="1">
      <c r="A17" s="414" t="s">
        <v>1273</v>
      </c>
      <c r="B17" s="414"/>
      <c r="C17" s="414"/>
      <c r="D17" s="414"/>
      <c r="E17" s="414"/>
      <c r="F17" s="414"/>
      <c r="G17" s="15">
        <v>136</v>
      </c>
      <c r="H17" s="16"/>
      <c r="I17" s="67">
        <v>1985380</v>
      </c>
      <c r="J17" s="67">
        <v>2217338</v>
      </c>
    </row>
    <row r="18" spans="1:10" s="2" customFormat="1" ht="14.25" customHeight="1">
      <c r="A18" s="414" t="s">
        <v>1274</v>
      </c>
      <c r="B18" s="414"/>
      <c r="C18" s="414"/>
      <c r="D18" s="414"/>
      <c r="E18" s="414"/>
      <c r="F18" s="414"/>
      <c r="G18" s="15">
        <v>137</v>
      </c>
      <c r="H18" s="16"/>
      <c r="I18" s="67"/>
      <c r="J18" s="67"/>
    </row>
    <row r="19" spans="1:10" s="2" customFormat="1" ht="14.25" customHeight="1">
      <c r="A19" s="414" t="s">
        <v>2959</v>
      </c>
      <c r="B19" s="414"/>
      <c r="C19" s="414"/>
      <c r="D19" s="414"/>
      <c r="E19" s="414"/>
      <c r="F19" s="414"/>
      <c r="G19" s="15">
        <v>138</v>
      </c>
      <c r="H19" s="16"/>
      <c r="I19" s="67">
        <v>4688295</v>
      </c>
      <c r="J19" s="67">
        <v>5174774</v>
      </c>
    </row>
    <row r="20" spans="1:10" s="2" customFormat="1" ht="14.25" customHeight="1">
      <c r="A20" s="385" t="s">
        <v>2494</v>
      </c>
      <c r="B20" s="385"/>
      <c r="C20" s="385"/>
      <c r="D20" s="385"/>
      <c r="E20" s="385"/>
      <c r="F20" s="385"/>
      <c r="G20" s="15">
        <v>139</v>
      </c>
      <c r="H20" s="16"/>
      <c r="I20" s="66">
        <f>SUM(I21:I23)</f>
        <v>4847729</v>
      </c>
      <c r="J20" s="66">
        <f>SUM(J21:J23)</f>
        <v>5230317</v>
      </c>
    </row>
    <row r="21" spans="1:10" s="2" customFormat="1" ht="14.25" customHeight="1">
      <c r="A21" s="414" t="s">
        <v>960</v>
      </c>
      <c r="B21" s="414"/>
      <c r="C21" s="414"/>
      <c r="D21" s="414"/>
      <c r="E21" s="414"/>
      <c r="F21" s="414"/>
      <c r="G21" s="15">
        <v>140</v>
      </c>
      <c r="H21" s="16"/>
      <c r="I21" s="67">
        <v>3203548</v>
      </c>
      <c r="J21" s="67">
        <v>3441863</v>
      </c>
    </row>
    <row r="22" spans="1:10" s="2" customFormat="1" ht="14.25" customHeight="1">
      <c r="A22" s="414" t="s">
        <v>1883</v>
      </c>
      <c r="B22" s="414"/>
      <c r="C22" s="414"/>
      <c r="D22" s="414"/>
      <c r="E22" s="414"/>
      <c r="F22" s="414"/>
      <c r="G22" s="15">
        <v>141</v>
      </c>
      <c r="H22" s="16"/>
      <c r="I22" s="67">
        <v>992430</v>
      </c>
      <c r="J22" s="67">
        <v>1073619</v>
      </c>
    </row>
    <row r="23" spans="1:10" s="2" customFormat="1" ht="14.25" customHeight="1">
      <c r="A23" s="414" t="s">
        <v>1884</v>
      </c>
      <c r="B23" s="414"/>
      <c r="C23" s="414"/>
      <c r="D23" s="414"/>
      <c r="E23" s="414"/>
      <c r="F23" s="414"/>
      <c r="G23" s="15">
        <v>142</v>
      </c>
      <c r="H23" s="16"/>
      <c r="I23" s="67">
        <v>651751</v>
      </c>
      <c r="J23" s="67">
        <v>714835</v>
      </c>
    </row>
    <row r="24" spans="1:10" s="2" customFormat="1" ht="14.25" customHeight="1">
      <c r="A24" s="385" t="s">
        <v>1006</v>
      </c>
      <c r="B24" s="385"/>
      <c r="C24" s="385"/>
      <c r="D24" s="385"/>
      <c r="E24" s="385"/>
      <c r="F24" s="385"/>
      <c r="G24" s="15">
        <v>143</v>
      </c>
      <c r="H24" s="16"/>
      <c r="I24" s="67">
        <v>6406151</v>
      </c>
      <c r="J24" s="67">
        <v>6531246</v>
      </c>
    </row>
    <row r="25" spans="1:10" s="2" customFormat="1" ht="14.25" customHeight="1">
      <c r="A25" s="385" t="s">
        <v>1007</v>
      </c>
      <c r="B25" s="385"/>
      <c r="C25" s="385"/>
      <c r="D25" s="385"/>
      <c r="E25" s="385"/>
      <c r="F25" s="385"/>
      <c r="G25" s="15">
        <v>144</v>
      </c>
      <c r="H25" s="16"/>
      <c r="I25" s="67">
        <v>1070179</v>
      </c>
      <c r="J25" s="67">
        <v>1041292</v>
      </c>
    </row>
    <row r="26" spans="1:12" s="2" customFormat="1" ht="14.25" customHeight="1">
      <c r="A26" s="385" t="s">
        <v>2495</v>
      </c>
      <c r="B26" s="385"/>
      <c r="C26" s="385"/>
      <c r="D26" s="385"/>
      <c r="E26" s="385"/>
      <c r="F26" s="385"/>
      <c r="G26" s="15">
        <v>145</v>
      </c>
      <c r="H26" s="16"/>
      <c r="I26" s="66">
        <f>SUM(I27:I28)</f>
        <v>976</v>
      </c>
      <c r="J26" s="66">
        <f>SUM(J27:J28)</f>
        <v>51739</v>
      </c>
      <c r="L26" s="2" t="s">
        <v>1209</v>
      </c>
    </row>
    <row r="27" spans="1:12" s="2" customFormat="1" ht="14.25" customHeight="1">
      <c r="A27" s="414" t="s">
        <v>1275</v>
      </c>
      <c r="B27" s="414"/>
      <c r="C27" s="414"/>
      <c r="D27" s="414"/>
      <c r="E27" s="414"/>
      <c r="F27" s="414"/>
      <c r="G27" s="15">
        <v>146</v>
      </c>
      <c r="H27" s="16"/>
      <c r="I27" s="67"/>
      <c r="J27" s="67">
        <v>183</v>
      </c>
      <c r="L27" s="2" t="s">
        <v>1209</v>
      </c>
    </row>
    <row r="28" spans="1:12" s="2" customFormat="1" ht="14.25" customHeight="1">
      <c r="A28" s="414" t="s">
        <v>1276</v>
      </c>
      <c r="B28" s="414"/>
      <c r="C28" s="414"/>
      <c r="D28" s="414"/>
      <c r="E28" s="414"/>
      <c r="F28" s="414"/>
      <c r="G28" s="15">
        <v>147</v>
      </c>
      <c r="H28" s="16"/>
      <c r="I28" s="67">
        <v>976</v>
      </c>
      <c r="J28" s="67">
        <v>51556</v>
      </c>
      <c r="L28" s="2" t="s">
        <v>1209</v>
      </c>
    </row>
    <row r="29" spans="1:12" s="2" customFormat="1" ht="14.25" customHeight="1">
      <c r="A29" s="385" t="s">
        <v>2496</v>
      </c>
      <c r="B29" s="385"/>
      <c r="C29" s="385"/>
      <c r="D29" s="385"/>
      <c r="E29" s="385"/>
      <c r="F29" s="385"/>
      <c r="G29" s="15">
        <v>148</v>
      </c>
      <c r="H29" s="16"/>
      <c r="I29" s="66">
        <f>SUM(I30:I35)</f>
        <v>196430</v>
      </c>
      <c r="J29" s="66">
        <f>SUM(J30:J35)</f>
        <v>65569</v>
      </c>
      <c r="L29" s="2" t="s">
        <v>1209</v>
      </c>
    </row>
    <row r="30" spans="1:12" s="2" customFormat="1" ht="14.25" customHeight="1">
      <c r="A30" s="414" t="s">
        <v>1277</v>
      </c>
      <c r="B30" s="414"/>
      <c r="C30" s="414"/>
      <c r="D30" s="414"/>
      <c r="E30" s="414"/>
      <c r="F30" s="414"/>
      <c r="G30" s="15">
        <v>149</v>
      </c>
      <c r="H30" s="16"/>
      <c r="I30" s="67"/>
      <c r="J30" s="67"/>
      <c r="L30" s="2" t="s">
        <v>1209</v>
      </c>
    </row>
    <row r="31" spans="1:12" s="2" customFormat="1" ht="14.25" customHeight="1">
      <c r="A31" s="414" t="s">
        <v>1278</v>
      </c>
      <c r="B31" s="414"/>
      <c r="C31" s="414"/>
      <c r="D31" s="414"/>
      <c r="E31" s="414"/>
      <c r="F31" s="414"/>
      <c r="G31" s="15">
        <v>150</v>
      </c>
      <c r="H31" s="16"/>
      <c r="I31" s="67"/>
      <c r="J31" s="67"/>
      <c r="L31" s="2" t="s">
        <v>1209</v>
      </c>
    </row>
    <row r="32" spans="1:12" s="2" customFormat="1" ht="14.25" customHeight="1">
      <c r="A32" s="414" t="s">
        <v>1279</v>
      </c>
      <c r="B32" s="414"/>
      <c r="C32" s="414"/>
      <c r="D32" s="414"/>
      <c r="E32" s="414"/>
      <c r="F32" s="414"/>
      <c r="G32" s="15">
        <v>151</v>
      </c>
      <c r="H32" s="16"/>
      <c r="I32" s="67">
        <v>163176</v>
      </c>
      <c r="J32" s="67">
        <v>65569</v>
      </c>
      <c r="L32" s="2" t="s">
        <v>1209</v>
      </c>
    </row>
    <row r="33" spans="1:12" s="2" customFormat="1" ht="14.25" customHeight="1">
      <c r="A33" s="414" t="s">
        <v>1280</v>
      </c>
      <c r="B33" s="414"/>
      <c r="C33" s="414"/>
      <c r="D33" s="414"/>
      <c r="E33" s="414"/>
      <c r="F33" s="414"/>
      <c r="G33" s="15">
        <v>152</v>
      </c>
      <c r="H33" s="16"/>
      <c r="I33" s="67"/>
      <c r="J33" s="67"/>
      <c r="L33" s="2" t="s">
        <v>1209</v>
      </c>
    </row>
    <row r="34" spans="1:12" s="2" customFormat="1" ht="14.25" customHeight="1">
      <c r="A34" s="414" t="s">
        <v>1281</v>
      </c>
      <c r="B34" s="414"/>
      <c r="C34" s="414"/>
      <c r="D34" s="414"/>
      <c r="E34" s="414"/>
      <c r="F34" s="414"/>
      <c r="G34" s="15">
        <v>153</v>
      </c>
      <c r="H34" s="16"/>
      <c r="I34" s="67"/>
      <c r="J34" s="67"/>
      <c r="L34" s="2" t="s">
        <v>1209</v>
      </c>
    </row>
    <row r="35" spans="1:12" s="2" customFormat="1" ht="14.25" customHeight="1">
      <c r="A35" s="414" t="s">
        <v>1282</v>
      </c>
      <c r="B35" s="414"/>
      <c r="C35" s="414"/>
      <c r="D35" s="414"/>
      <c r="E35" s="414"/>
      <c r="F35" s="414"/>
      <c r="G35" s="15">
        <v>154</v>
      </c>
      <c r="H35" s="16"/>
      <c r="I35" s="67">
        <v>33254</v>
      </c>
      <c r="J35" s="67"/>
      <c r="L35" s="2" t="s">
        <v>1209</v>
      </c>
    </row>
    <row r="36" spans="1:10" s="2" customFormat="1" ht="14.25" customHeight="1">
      <c r="A36" s="385" t="s">
        <v>147</v>
      </c>
      <c r="B36" s="385"/>
      <c r="C36" s="385"/>
      <c r="D36" s="385"/>
      <c r="E36" s="385"/>
      <c r="F36" s="385"/>
      <c r="G36" s="15">
        <v>155</v>
      </c>
      <c r="H36" s="16"/>
      <c r="I36" s="67">
        <v>216475</v>
      </c>
      <c r="J36" s="67">
        <v>294688</v>
      </c>
    </row>
    <row r="37" spans="1:10" s="2" customFormat="1" ht="14.25" customHeight="1">
      <c r="A37" s="387" t="s">
        <v>2497</v>
      </c>
      <c r="B37" s="387"/>
      <c r="C37" s="387"/>
      <c r="D37" s="387"/>
      <c r="E37" s="387"/>
      <c r="F37" s="387"/>
      <c r="G37" s="15">
        <v>156</v>
      </c>
      <c r="H37" s="16"/>
      <c r="I37" s="66">
        <f>SUM(I38:I47)</f>
        <v>92262</v>
      </c>
      <c r="J37" s="66">
        <f>SUM(J38:J47)</f>
        <v>125177</v>
      </c>
    </row>
    <row r="38" spans="1:10" s="2" customFormat="1" ht="14.25" customHeight="1">
      <c r="A38" s="385" t="s">
        <v>346</v>
      </c>
      <c r="B38" s="385"/>
      <c r="C38" s="385"/>
      <c r="D38" s="385"/>
      <c r="E38" s="385"/>
      <c r="F38" s="385"/>
      <c r="G38" s="15">
        <v>157</v>
      </c>
      <c r="H38" s="16"/>
      <c r="I38" s="67"/>
      <c r="J38" s="67"/>
    </row>
    <row r="39" spans="1:10" s="2" customFormat="1" ht="24" customHeight="1">
      <c r="A39" s="385" t="s">
        <v>2361</v>
      </c>
      <c r="B39" s="385"/>
      <c r="C39" s="385"/>
      <c r="D39" s="385"/>
      <c r="E39" s="385"/>
      <c r="F39" s="385"/>
      <c r="G39" s="15">
        <v>158</v>
      </c>
      <c r="H39" s="16"/>
      <c r="I39" s="67"/>
      <c r="J39" s="67"/>
    </row>
    <row r="40" spans="1:10" s="2" customFormat="1" ht="24" customHeight="1">
      <c r="A40" s="385" t="s">
        <v>345</v>
      </c>
      <c r="B40" s="385"/>
      <c r="C40" s="385"/>
      <c r="D40" s="385"/>
      <c r="E40" s="385"/>
      <c r="F40" s="385"/>
      <c r="G40" s="15">
        <v>159</v>
      </c>
      <c r="H40" s="16"/>
      <c r="I40" s="67"/>
      <c r="J40" s="67"/>
    </row>
    <row r="41" spans="1:10" s="2" customFormat="1" ht="14.25" customHeight="1">
      <c r="A41" s="385" t="s">
        <v>2964</v>
      </c>
      <c r="B41" s="385"/>
      <c r="C41" s="385"/>
      <c r="D41" s="385"/>
      <c r="E41" s="385"/>
      <c r="F41" s="385"/>
      <c r="G41" s="15">
        <v>160</v>
      </c>
      <c r="H41" s="16"/>
      <c r="I41" s="67">
        <v>3043</v>
      </c>
      <c r="J41" s="67">
        <v>11604</v>
      </c>
    </row>
    <row r="42" spans="1:10" s="2" customFormat="1" ht="24" customHeight="1">
      <c r="A42" s="385" t="s">
        <v>2362</v>
      </c>
      <c r="B42" s="385"/>
      <c r="C42" s="385"/>
      <c r="D42" s="385"/>
      <c r="E42" s="385"/>
      <c r="F42" s="385"/>
      <c r="G42" s="15">
        <v>161</v>
      </c>
      <c r="H42" s="16"/>
      <c r="I42" s="67"/>
      <c r="J42" s="67"/>
    </row>
    <row r="43" spans="1:10" s="2" customFormat="1" ht="14.25" customHeight="1">
      <c r="A43" s="385" t="s">
        <v>2963</v>
      </c>
      <c r="B43" s="385"/>
      <c r="C43" s="385"/>
      <c r="D43" s="385"/>
      <c r="E43" s="385"/>
      <c r="F43" s="385"/>
      <c r="G43" s="15">
        <v>162</v>
      </c>
      <c r="H43" s="16"/>
      <c r="I43" s="67"/>
      <c r="J43" s="67"/>
    </row>
    <row r="44" spans="1:10" s="2" customFormat="1" ht="14.25" customHeight="1">
      <c r="A44" s="385" t="s">
        <v>2962</v>
      </c>
      <c r="B44" s="385"/>
      <c r="C44" s="385"/>
      <c r="D44" s="385"/>
      <c r="E44" s="385"/>
      <c r="F44" s="385"/>
      <c r="G44" s="15">
        <v>163</v>
      </c>
      <c r="H44" s="16"/>
      <c r="I44" s="67">
        <v>89219</v>
      </c>
      <c r="J44" s="67">
        <v>113176</v>
      </c>
    </row>
    <row r="45" spans="1:10" s="2" customFormat="1" ht="14.25" customHeight="1">
      <c r="A45" s="385" t="s">
        <v>2961</v>
      </c>
      <c r="B45" s="385"/>
      <c r="C45" s="385"/>
      <c r="D45" s="385"/>
      <c r="E45" s="385"/>
      <c r="F45" s="385"/>
      <c r="G45" s="15">
        <v>164</v>
      </c>
      <c r="H45" s="16"/>
      <c r="I45" s="67"/>
      <c r="J45" s="67">
        <v>397</v>
      </c>
    </row>
    <row r="46" spans="1:10" s="2" customFormat="1" ht="14.25" customHeight="1">
      <c r="A46" s="385" t="s">
        <v>2960</v>
      </c>
      <c r="B46" s="385"/>
      <c r="C46" s="385"/>
      <c r="D46" s="385"/>
      <c r="E46" s="385"/>
      <c r="F46" s="385"/>
      <c r="G46" s="15">
        <v>165</v>
      </c>
      <c r="H46" s="16"/>
      <c r="I46" s="67"/>
      <c r="J46" s="67"/>
    </row>
    <row r="47" spans="1:10" s="2" customFormat="1" ht="14.25" customHeight="1">
      <c r="A47" s="385" t="s">
        <v>2956</v>
      </c>
      <c r="B47" s="385"/>
      <c r="C47" s="385"/>
      <c r="D47" s="385"/>
      <c r="E47" s="385"/>
      <c r="F47" s="385"/>
      <c r="G47" s="15">
        <v>166</v>
      </c>
      <c r="H47" s="16"/>
      <c r="I47" s="67"/>
      <c r="J47" s="67"/>
    </row>
    <row r="48" spans="1:10" s="2" customFormat="1" ht="14.25" customHeight="1">
      <c r="A48" s="387" t="s">
        <v>2498</v>
      </c>
      <c r="B48" s="387"/>
      <c r="C48" s="387"/>
      <c r="D48" s="387"/>
      <c r="E48" s="387"/>
      <c r="F48" s="387"/>
      <c r="G48" s="15">
        <v>167</v>
      </c>
      <c r="H48" s="16"/>
      <c r="I48" s="66">
        <f>SUM(I49:I55)</f>
        <v>30624</v>
      </c>
      <c r="J48" s="66">
        <f>SUM(J49:J55)</f>
        <v>50308</v>
      </c>
    </row>
    <row r="49" spans="1:10" s="2" customFormat="1" ht="14.25" customHeight="1">
      <c r="A49" s="385" t="s">
        <v>2957</v>
      </c>
      <c r="B49" s="385"/>
      <c r="C49" s="385"/>
      <c r="D49" s="385"/>
      <c r="E49" s="385"/>
      <c r="F49" s="385"/>
      <c r="G49" s="15">
        <v>168</v>
      </c>
      <c r="H49" s="16"/>
      <c r="I49" s="67">
        <v>27660</v>
      </c>
      <c r="J49" s="67">
        <v>35996</v>
      </c>
    </row>
    <row r="50" spans="1:10" s="2" customFormat="1" ht="14.25" customHeight="1">
      <c r="A50" s="413" t="s">
        <v>1088</v>
      </c>
      <c r="B50" s="413"/>
      <c r="C50" s="413"/>
      <c r="D50" s="413"/>
      <c r="E50" s="413"/>
      <c r="F50" s="413"/>
      <c r="G50" s="15">
        <v>169</v>
      </c>
      <c r="H50" s="16"/>
      <c r="I50" s="67">
        <v>2964</v>
      </c>
      <c r="J50" s="67">
        <v>4312</v>
      </c>
    </row>
    <row r="51" spans="1:10" s="2" customFormat="1" ht="14.25" customHeight="1">
      <c r="A51" s="413" t="s">
        <v>1089</v>
      </c>
      <c r="B51" s="413"/>
      <c r="C51" s="413"/>
      <c r="D51" s="413"/>
      <c r="E51" s="413"/>
      <c r="F51" s="413"/>
      <c r="G51" s="15">
        <v>170</v>
      </c>
      <c r="H51" s="16"/>
      <c r="I51" s="67"/>
      <c r="J51" s="67"/>
    </row>
    <row r="52" spans="1:10" s="2" customFormat="1" ht="14.25" customHeight="1">
      <c r="A52" s="413" t="s">
        <v>1090</v>
      </c>
      <c r="B52" s="413"/>
      <c r="C52" s="413"/>
      <c r="D52" s="413"/>
      <c r="E52" s="413"/>
      <c r="F52" s="413"/>
      <c r="G52" s="15">
        <v>171</v>
      </c>
      <c r="H52" s="16"/>
      <c r="I52" s="67"/>
      <c r="J52" s="67"/>
    </row>
    <row r="53" spans="1:10" s="2" customFormat="1" ht="14.25" customHeight="1">
      <c r="A53" s="413" t="s">
        <v>1091</v>
      </c>
      <c r="B53" s="413"/>
      <c r="C53" s="413"/>
      <c r="D53" s="413"/>
      <c r="E53" s="413"/>
      <c r="F53" s="413"/>
      <c r="G53" s="15">
        <v>172</v>
      </c>
      <c r="H53" s="16"/>
      <c r="I53" s="67"/>
      <c r="J53" s="67"/>
    </row>
    <row r="54" spans="1:12" s="2" customFormat="1" ht="14.25" customHeight="1">
      <c r="A54" s="413" t="s">
        <v>1092</v>
      </c>
      <c r="B54" s="413"/>
      <c r="C54" s="413"/>
      <c r="D54" s="413"/>
      <c r="E54" s="413"/>
      <c r="F54" s="413"/>
      <c r="G54" s="15">
        <v>173</v>
      </c>
      <c r="H54" s="16"/>
      <c r="I54" s="67"/>
      <c r="J54" s="67"/>
      <c r="L54" s="2" t="s">
        <v>1209</v>
      </c>
    </row>
    <row r="55" spans="1:10" s="2" customFormat="1" ht="14.25" customHeight="1">
      <c r="A55" s="413" t="s">
        <v>1093</v>
      </c>
      <c r="B55" s="413"/>
      <c r="C55" s="413"/>
      <c r="D55" s="413"/>
      <c r="E55" s="413"/>
      <c r="F55" s="413"/>
      <c r="G55" s="15">
        <v>174</v>
      </c>
      <c r="H55" s="16"/>
      <c r="I55" s="67"/>
      <c r="J55" s="67">
        <v>10000</v>
      </c>
    </row>
    <row r="56" spans="1:10" s="2" customFormat="1" ht="24.75" customHeight="1">
      <c r="A56" s="387" t="s">
        <v>2363</v>
      </c>
      <c r="B56" s="387"/>
      <c r="C56" s="387"/>
      <c r="D56" s="387"/>
      <c r="E56" s="387"/>
      <c r="F56" s="387"/>
      <c r="G56" s="15">
        <v>175</v>
      </c>
      <c r="H56" s="16"/>
      <c r="I56" s="67"/>
      <c r="J56" s="67"/>
    </row>
    <row r="57" spans="1:10" s="2" customFormat="1" ht="14.25" customHeight="1">
      <c r="A57" s="387" t="s">
        <v>1094</v>
      </c>
      <c r="B57" s="387"/>
      <c r="C57" s="387"/>
      <c r="D57" s="387"/>
      <c r="E57" s="387"/>
      <c r="F57" s="387"/>
      <c r="G57" s="15">
        <v>176</v>
      </c>
      <c r="H57" s="16"/>
      <c r="I57" s="67"/>
      <c r="J57" s="67"/>
    </row>
    <row r="58" spans="1:10" s="2" customFormat="1" ht="24.75" customHeight="1">
      <c r="A58" s="387" t="s">
        <v>1095</v>
      </c>
      <c r="B58" s="387"/>
      <c r="C58" s="387"/>
      <c r="D58" s="387"/>
      <c r="E58" s="387"/>
      <c r="F58" s="387"/>
      <c r="G58" s="15">
        <v>177</v>
      </c>
      <c r="H58" s="16"/>
      <c r="I58" s="67"/>
      <c r="J58" s="67"/>
    </row>
    <row r="59" spans="1:10" s="2" customFormat="1" ht="14.25" customHeight="1">
      <c r="A59" s="387" t="s">
        <v>1096</v>
      </c>
      <c r="B59" s="387"/>
      <c r="C59" s="387"/>
      <c r="D59" s="387"/>
      <c r="E59" s="387"/>
      <c r="F59" s="387"/>
      <c r="G59" s="15">
        <v>178</v>
      </c>
      <c r="H59" s="16"/>
      <c r="I59" s="67"/>
      <c r="J59" s="67"/>
    </row>
    <row r="60" spans="1:10" s="2" customFormat="1" ht="14.25" customHeight="1">
      <c r="A60" s="387" t="s">
        <v>2499</v>
      </c>
      <c r="B60" s="387"/>
      <c r="C60" s="387"/>
      <c r="D60" s="387"/>
      <c r="E60" s="387"/>
      <c r="F60" s="387"/>
      <c r="G60" s="15">
        <v>179</v>
      </c>
      <c r="H60" s="16"/>
      <c r="I60" s="66">
        <f>I8+I37+I56+I57</f>
        <v>19458634</v>
      </c>
      <c r="J60" s="66">
        <f>J8+J37+J56+J57</f>
        <v>20700145</v>
      </c>
    </row>
    <row r="61" spans="1:10" s="2" customFormat="1" ht="14.25" customHeight="1">
      <c r="A61" s="387" t="s">
        <v>2500</v>
      </c>
      <c r="B61" s="387"/>
      <c r="C61" s="387"/>
      <c r="D61" s="387"/>
      <c r="E61" s="387"/>
      <c r="F61" s="387"/>
      <c r="G61" s="15">
        <v>180</v>
      </c>
      <c r="H61" s="16"/>
      <c r="I61" s="66">
        <f>I14+I48+I58+I59</f>
        <v>19442239</v>
      </c>
      <c r="J61" s="66">
        <f>J14+J48+J58+J59</f>
        <v>20657271</v>
      </c>
    </row>
    <row r="62" spans="1:12" s="2" customFormat="1" ht="14.25" customHeight="1">
      <c r="A62" s="387" t="s">
        <v>2501</v>
      </c>
      <c r="B62" s="387"/>
      <c r="C62" s="387"/>
      <c r="D62" s="387"/>
      <c r="E62" s="387"/>
      <c r="F62" s="387"/>
      <c r="G62" s="15">
        <v>181</v>
      </c>
      <c r="H62" s="16"/>
      <c r="I62" s="66">
        <f>I60-I61</f>
        <v>16395</v>
      </c>
      <c r="J62" s="66">
        <f>J60-J61</f>
        <v>42874</v>
      </c>
      <c r="L62" s="2" t="s">
        <v>1209</v>
      </c>
    </row>
    <row r="63" spans="1:10" s="2" customFormat="1" ht="14.25" customHeight="1">
      <c r="A63" s="413" t="s">
        <v>2502</v>
      </c>
      <c r="B63" s="413"/>
      <c r="C63" s="413"/>
      <c r="D63" s="413"/>
      <c r="E63" s="413"/>
      <c r="F63" s="413"/>
      <c r="G63" s="15">
        <v>182</v>
      </c>
      <c r="H63" s="16"/>
      <c r="I63" s="66">
        <f>IF(I60&gt;I61,I60-I61,0)</f>
        <v>16395</v>
      </c>
      <c r="J63" s="66">
        <f>IF(J60&gt;J61,J60-J61,0)</f>
        <v>42874</v>
      </c>
    </row>
    <row r="64" spans="1:10" s="2" customFormat="1" ht="14.25" customHeight="1">
      <c r="A64" s="413" t="s">
        <v>2503</v>
      </c>
      <c r="B64" s="413"/>
      <c r="C64" s="413"/>
      <c r="D64" s="413"/>
      <c r="E64" s="413"/>
      <c r="F64" s="413"/>
      <c r="G64" s="15">
        <v>183</v>
      </c>
      <c r="H64" s="16"/>
      <c r="I64" s="66">
        <f>IF(I61&gt;I60,I61-I60,0)</f>
        <v>0</v>
      </c>
      <c r="J64" s="66">
        <f>IF(J61&gt;J60,J61-J60,0)</f>
        <v>0</v>
      </c>
    </row>
    <row r="65" spans="1:12" s="2" customFormat="1" ht="14.25" customHeight="1">
      <c r="A65" s="387" t="s">
        <v>1238</v>
      </c>
      <c r="B65" s="387"/>
      <c r="C65" s="387"/>
      <c r="D65" s="387"/>
      <c r="E65" s="387"/>
      <c r="F65" s="387"/>
      <c r="G65" s="15">
        <v>184</v>
      </c>
      <c r="H65" s="16"/>
      <c r="I65" s="67">
        <v>8297</v>
      </c>
      <c r="J65" s="67">
        <v>15851</v>
      </c>
      <c r="L65" s="2" t="s">
        <v>1209</v>
      </c>
    </row>
    <row r="66" spans="1:12" s="2" customFormat="1" ht="14.25" customHeight="1">
      <c r="A66" s="387" t="s">
        <v>2504</v>
      </c>
      <c r="B66" s="387"/>
      <c r="C66" s="387"/>
      <c r="D66" s="387"/>
      <c r="E66" s="387"/>
      <c r="F66" s="387"/>
      <c r="G66" s="15">
        <v>185</v>
      </c>
      <c r="H66" s="16"/>
      <c r="I66" s="66">
        <f>I62-I65</f>
        <v>8098</v>
      </c>
      <c r="J66" s="66">
        <f>J62-J65</f>
        <v>27023</v>
      </c>
      <c r="L66" s="2" t="s">
        <v>1209</v>
      </c>
    </row>
    <row r="67" spans="1:10" s="2" customFormat="1" ht="14.25" customHeight="1">
      <c r="A67" s="413" t="s">
        <v>2505</v>
      </c>
      <c r="B67" s="413"/>
      <c r="C67" s="413"/>
      <c r="D67" s="413"/>
      <c r="E67" s="413"/>
      <c r="F67" s="413"/>
      <c r="G67" s="15">
        <v>186</v>
      </c>
      <c r="H67" s="16"/>
      <c r="I67" s="66">
        <f>IF(I66&gt;0,I66,0)</f>
        <v>8098</v>
      </c>
      <c r="J67" s="66">
        <f>IF(J66&gt;0,J66,0)</f>
        <v>27023</v>
      </c>
    </row>
    <row r="68" spans="1:10" s="2" customFormat="1" ht="14.25" customHeight="1">
      <c r="A68" s="425" t="s">
        <v>2506</v>
      </c>
      <c r="B68" s="425"/>
      <c r="C68" s="425"/>
      <c r="D68" s="425"/>
      <c r="E68" s="425"/>
      <c r="F68" s="425"/>
      <c r="G68" s="17">
        <v>187</v>
      </c>
      <c r="H68" s="18"/>
      <c r="I68" s="81">
        <f>IF(I66&lt;0,-I66,0)</f>
        <v>0</v>
      </c>
      <c r="J68" s="81">
        <f>IF(J66&lt;0,-J66,0)</f>
        <v>0</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f>I71-I72</f>
        <v>0</v>
      </c>
      <c r="J70" s="66">
        <f>J71-J72</f>
        <v>0</v>
      </c>
      <c r="L70" s="2" t="s">
        <v>1209</v>
      </c>
    </row>
    <row r="71" spans="1:10" s="2" customFormat="1" ht="14.25" customHeight="1">
      <c r="A71" s="413" t="s">
        <v>2425</v>
      </c>
      <c r="B71" s="413"/>
      <c r="C71" s="413"/>
      <c r="D71" s="413"/>
      <c r="E71" s="413"/>
      <c r="F71" s="413"/>
      <c r="G71" s="15">
        <v>189</v>
      </c>
      <c r="H71" s="16"/>
      <c r="I71" s="67"/>
      <c r="J71" s="67"/>
    </row>
    <row r="72" spans="1:10" s="2" customFormat="1" ht="14.25" customHeight="1">
      <c r="A72" s="413" t="s">
        <v>2426</v>
      </c>
      <c r="B72" s="413"/>
      <c r="C72" s="413"/>
      <c r="D72" s="413"/>
      <c r="E72" s="413"/>
      <c r="F72" s="413"/>
      <c r="G72" s="15">
        <v>190</v>
      </c>
      <c r="H72" s="16"/>
      <c r="I72" s="67"/>
      <c r="J72" s="67"/>
    </row>
    <row r="73" spans="1:12" s="2" customFormat="1" ht="14.25" customHeight="1">
      <c r="A73" s="387" t="s">
        <v>1097</v>
      </c>
      <c r="B73" s="387"/>
      <c r="C73" s="387"/>
      <c r="D73" s="387"/>
      <c r="E73" s="387"/>
      <c r="F73" s="387"/>
      <c r="G73" s="15">
        <v>191</v>
      </c>
      <c r="H73" s="16"/>
      <c r="I73" s="67"/>
      <c r="J73" s="67"/>
      <c r="L73" s="2" t="s">
        <v>1209</v>
      </c>
    </row>
    <row r="74" spans="1:10" s="2" customFormat="1" ht="14.25" customHeight="1">
      <c r="A74" s="413" t="s">
        <v>2508</v>
      </c>
      <c r="B74" s="413"/>
      <c r="C74" s="413"/>
      <c r="D74" s="413"/>
      <c r="E74" s="413"/>
      <c r="F74" s="413"/>
      <c r="G74" s="15">
        <v>192</v>
      </c>
      <c r="H74" s="16"/>
      <c r="I74" s="66">
        <f>IF(I70-I73&gt;0,I70-I73,0)</f>
        <v>0</v>
      </c>
      <c r="J74" s="66">
        <f>IF(J70-J73&gt;0,J70-J73,0)</f>
        <v>0</v>
      </c>
    </row>
    <row r="75" spans="1:10" s="2" customFormat="1" ht="14.25" customHeight="1">
      <c r="A75" s="425" t="s">
        <v>2509</v>
      </c>
      <c r="B75" s="425"/>
      <c r="C75" s="425"/>
      <c r="D75" s="425"/>
      <c r="E75" s="425"/>
      <c r="F75" s="425"/>
      <c r="G75" s="17">
        <v>193</v>
      </c>
      <c r="H75" s="18"/>
      <c r="I75" s="81">
        <f>IF(I73-I70&gt;0,I73-I70,0)</f>
        <v>0</v>
      </c>
      <c r="J75" s="81">
        <f>IF(J73-J70&gt;0,J73-J70,0)</f>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f>(I62+I70)*$Q$8</f>
        <v>0</v>
      </c>
      <c r="J77" s="66">
        <f>(J62+J70)*$Q$8</f>
        <v>0</v>
      </c>
      <c r="L77" s="2" t="s">
        <v>1209</v>
      </c>
    </row>
    <row r="78" spans="1:10" s="2" customFormat="1" ht="14.25" customHeight="1">
      <c r="A78" s="413" t="s">
        <v>2511</v>
      </c>
      <c r="B78" s="413"/>
      <c r="C78" s="413"/>
      <c r="D78" s="413"/>
      <c r="E78" s="413"/>
      <c r="F78" s="413"/>
      <c r="G78" s="15">
        <v>195</v>
      </c>
      <c r="H78" s="16"/>
      <c r="I78" s="66">
        <f>IF(I77&gt;0,I77,0)</f>
        <v>0</v>
      </c>
      <c r="J78" s="66">
        <f>IF(J77&gt;0,J77,0)</f>
        <v>0</v>
      </c>
    </row>
    <row r="79" spans="1:10" s="2" customFormat="1" ht="14.25" customHeight="1">
      <c r="A79" s="413" t="s">
        <v>2512</v>
      </c>
      <c r="B79" s="413"/>
      <c r="C79" s="413"/>
      <c r="D79" s="413"/>
      <c r="E79" s="413"/>
      <c r="F79" s="413"/>
      <c r="G79" s="15">
        <v>196</v>
      </c>
      <c r="H79" s="16"/>
      <c r="I79" s="66">
        <f>IF(I77&lt;0,-I77,0)</f>
        <v>0</v>
      </c>
      <c r="J79" s="66">
        <f>IF(J77&lt;0,-J77,0)</f>
        <v>0</v>
      </c>
    </row>
    <row r="80" spans="1:12" s="2" customFormat="1" ht="14.25" customHeight="1">
      <c r="A80" s="387" t="s">
        <v>2513</v>
      </c>
      <c r="B80" s="387"/>
      <c r="C80" s="387"/>
      <c r="D80" s="387"/>
      <c r="E80" s="387"/>
      <c r="F80" s="387"/>
      <c r="G80" s="15">
        <v>197</v>
      </c>
      <c r="H80" s="16"/>
      <c r="I80" s="66">
        <f>(I73+I65)*$Q$8</f>
        <v>0</v>
      </c>
      <c r="J80" s="66">
        <f>(J73+J65)*$Q$8</f>
        <v>0</v>
      </c>
      <c r="L80" s="2" t="s">
        <v>1209</v>
      </c>
    </row>
    <row r="81" spans="1:12" s="2" customFormat="1" ht="14.25" customHeight="1">
      <c r="A81" s="387" t="s">
        <v>2514</v>
      </c>
      <c r="B81" s="387"/>
      <c r="C81" s="387"/>
      <c r="D81" s="387"/>
      <c r="E81" s="387"/>
      <c r="F81" s="387"/>
      <c r="G81" s="15">
        <v>198</v>
      </c>
      <c r="H81" s="16"/>
      <c r="I81" s="66">
        <f>I82-I83</f>
        <v>0</v>
      </c>
      <c r="J81" s="66">
        <f>J82-J83</f>
        <v>0</v>
      </c>
      <c r="L81" s="2" t="s">
        <v>1209</v>
      </c>
    </row>
    <row r="82" spans="1:10" s="2" customFormat="1" ht="14.25" customHeight="1">
      <c r="A82" s="413" t="s">
        <v>2515</v>
      </c>
      <c r="B82" s="413"/>
      <c r="C82" s="413"/>
      <c r="D82" s="413"/>
      <c r="E82" s="413"/>
      <c r="F82" s="413"/>
      <c r="G82" s="15">
        <v>199</v>
      </c>
      <c r="H82" s="16"/>
      <c r="I82" s="66">
        <f>IF(I77-I80&gt;0,I77-I80,0)</f>
        <v>0</v>
      </c>
      <c r="J82" s="66">
        <f>IF(J77-J80&gt;0,J77-J80,0)</f>
        <v>0</v>
      </c>
    </row>
    <row r="83" spans="1:10" s="2" customFormat="1" ht="14.25" customHeight="1">
      <c r="A83" s="425" t="s">
        <v>2516</v>
      </c>
      <c r="B83" s="425"/>
      <c r="C83" s="425"/>
      <c r="D83" s="425"/>
      <c r="E83" s="425"/>
      <c r="F83" s="425"/>
      <c r="G83" s="17">
        <v>200</v>
      </c>
      <c r="H83" s="18"/>
      <c r="I83" s="81">
        <f>IF(I77-I80&lt;0,I80-I77,0)</f>
        <v>0</v>
      </c>
      <c r="J83" s="81">
        <f>IF(J77-J80&lt;0,J80-J77,0)</f>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c r="J86" s="73"/>
      <c r="L86" s="2" t="s">
        <v>1209</v>
      </c>
    </row>
    <row r="87" spans="1:12" s="2" customFormat="1" ht="14.25" customHeight="1">
      <c r="A87" s="407" t="s">
        <v>2710</v>
      </c>
      <c r="B87" s="407"/>
      <c r="C87" s="407"/>
      <c r="D87" s="407"/>
      <c r="E87" s="407"/>
      <c r="F87" s="407"/>
      <c r="G87" s="17">
        <v>203</v>
      </c>
      <c r="H87" s="18"/>
      <c r="I87" s="74"/>
      <c r="J87" s="74"/>
      <c r="L87" s="2" t="s">
        <v>1209</v>
      </c>
    </row>
    <row r="88" spans="1:10" s="2" customFormat="1" ht="14.25" customHeight="1">
      <c r="A88" s="422" t="s">
        <v>1506</v>
      </c>
      <c r="B88" s="422"/>
      <c r="C88" s="422"/>
      <c r="D88" s="422"/>
      <c r="E88" s="422"/>
      <c r="F88" s="422"/>
      <c r="G88" s="423"/>
      <c r="H88" s="423"/>
      <c r="I88" s="423"/>
      <c r="J88" s="423"/>
    </row>
    <row r="89" spans="1:12" s="2" customFormat="1" ht="14.25" customHeight="1">
      <c r="A89" s="408" t="s">
        <v>2518</v>
      </c>
      <c r="B89" s="408"/>
      <c r="C89" s="408"/>
      <c r="D89" s="408"/>
      <c r="E89" s="408"/>
      <c r="F89" s="408"/>
      <c r="G89" s="15">
        <v>204</v>
      </c>
      <c r="H89" s="16"/>
      <c r="I89" s="73"/>
      <c r="J89" s="73"/>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c r="J92" s="73"/>
      <c r="L92" s="2" t="s">
        <v>1209</v>
      </c>
    </row>
    <row r="93" spans="1:12" s="2" customFormat="1" ht="24.75" customHeight="1">
      <c r="A93" s="385" t="s">
        <v>2520</v>
      </c>
      <c r="B93" s="385"/>
      <c r="C93" s="385"/>
      <c r="D93" s="385"/>
      <c r="E93" s="385"/>
      <c r="F93" s="385"/>
      <c r="G93" s="15">
        <v>208</v>
      </c>
      <c r="H93" s="16"/>
      <c r="I93" s="73"/>
      <c r="J93" s="73"/>
      <c r="L93" s="2" t="s">
        <v>1209</v>
      </c>
    </row>
    <row r="94" spans="1:12" s="2" customFormat="1" ht="24.75" customHeight="1">
      <c r="A94" s="385" t="s">
        <v>1604</v>
      </c>
      <c r="B94" s="385"/>
      <c r="C94" s="385"/>
      <c r="D94" s="385"/>
      <c r="E94" s="385"/>
      <c r="F94" s="385"/>
      <c r="G94" s="15">
        <v>209</v>
      </c>
      <c r="H94" s="16"/>
      <c r="I94" s="73"/>
      <c r="J94" s="73"/>
      <c r="L94" s="2" t="s">
        <v>1209</v>
      </c>
    </row>
    <row r="95" spans="1:12" s="2" customFormat="1" ht="14.25" customHeight="1">
      <c r="A95" s="385" t="s">
        <v>1605</v>
      </c>
      <c r="B95" s="385"/>
      <c r="C95" s="385"/>
      <c r="D95" s="385"/>
      <c r="E95" s="385"/>
      <c r="F95" s="385"/>
      <c r="G95" s="15">
        <v>210</v>
      </c>
      <c r="H95" s="16"/>
      <c r="I95" s="73"/>
      <c r="J95" s="73"/>
      <c r="L95" s="2" t="s">
        <v>1209</v>
      </c>
    </row>
    <row r="96" spans="1:12" s="2" customFormat="1" ht="14.25" customHeight="1">
      <c r="A96" s="385" t="s">
        <v>1606</v>
      </c>
      <c r="B96" s="385"/>
      <c r="C96" s="385"/>
      <c r="D96" s="385"/>
      <c r="E96" s="385"/>
      <c r="F96" s="385"/>
      <c r="G96" s="15">
        <v>211</v>
      </c>
      <c r="H96" s="16"/>
      <c r="I96" s="73"/>
      <c r="J96" s="73"/>
      <c r="L96" s="2" t="s">
        <v>1209</v>
      </c>
    </row>
    <row r="97" spans="1:12" s="2" customFormat="1" ht="14.25" customHeight="1">
      <c r="A97" s="385" t="s">
        <v>1607</v>
      </c>
      <c r="B97" s="385"/>
      <c r="C97" s="385"/>
      <c r="D97" s="385"/>
      <c r="E97" s="385"/>
      <c r="F97" s="385"/>
      <c r="G97" s="15">
        <v>212</v>
      </c>
      <c r="H97" s="16"/>
      <c r="I97" s="73"/>
      <c r="J97" s="73"/>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c r="J99" s="73"/>
      <c r="L99" s="2" t="s">
        <v>1209</v>
      </c>
    </row>
    <row r="100" spans="1:12" s="2" customFormat="1" ht="24.75" customHeight="1">
      <c r="A100" s="385" t="s">
        <v>348</v>
      </c>
      <c r="B100" s="385"/>
      <c r="C100" s="385"/>
      <c r="D100" s="385"/>
      <c r="E100" s="385"/>
      <c r="F100" s="385"/>
      <c r="G100" s="15">
        <v>215</v>
      </c>
      <c r="H100" s="16"/>
      <c r="I100" s="73"/>
      <c r="J100" s="73"/>
      <c r="L100" s="2" t="s">
        <v>1209</v>
      </c>
    </row>
    <row r="101" spans="1:12" s="2" customFormat="1" ht="14.25" customHeight="1">
      <c r="A101" s="385" t="s">
        <v>349</v>
      </c>
      <c r="B101" s="385"/>
      <c r="C101" s="385"/>
      <c r="D101" s="385"/>
      <c r="E101" s="385"/>
      <c r="F101" s="385"/>
      <c r="G101" s="15">
        <v>216</v>
      </c>
      <c r="H101" s="16"/>
      <c r="I101" s="73"/>
      <c r="J101" s="73"/>
      <c r="L101" s="2" t="s">
        <v>1209</v>
      </c>
    </row>
    <row r="102" spans="1:12" s="2" customFormat="1" ht="14.25" customHeight="1">
      <c r="A102" s="385" t="s">
        <v>350</v>
      </c>
      <c r="B102" s="385"/>
      <c r="C102" s="385"/>
      <c r="D102" s="385"/>
      <c r="E102" s="385"/>
      <c r="F102" s="385"/>
      <c r="G102" s="15">
        <v>217</v>
      </c>
      <c r="H102" s="16"/>
      <c r="I102" s="73"/>
      <c r="J102" s="73"/>
      <c r="L102" s="2" t="s">
        <v>1209</v>
      </c>
    </row>
    <row r="103" spans="1:12" s="2" customFormat="1" ht="24.75" customHeight="1">
      <c r="A103" s="385" t="s">
        <v>351</v>
      </c>
      <c r="B103" s="385"/>
      <c r="C103" s="385"/>
      <c r="D103" s="385"/>
      <c r="E103" s="385"/>
      <c r="F103" s="385"/>
      <c r="G103" s="15">
        <v>218</v>
      </c>
      <c r="H103" s="16"/>
      <c r="I103" s="73"/>
      <c r="J103" s="73"/>
      <c r="L103" s="2" t="s">
        <v>1209</v>
      </c>
    </row>
    <row r="104" spans="1:12" s="2" customFormat="1" ht="14.25" customHeight="1">
      <c r="A104" s="385" t="s">
        <v>352</v>
      </c>
      <c r="B104" s="385"/>
      <c r="C104" s="385"/>
      <c r="D104" s="385"/>
      <c r="E104" s="385"/>
      <c r="F104" s="385"/>
      <c r="G104" s="15">
        <v>219</v>
      </c>
      <c r="H104" s="16"/>
      <c r="I104" s="73"/>
      <c r="J104" s="73"/>
      <c r="L104" s="2" t="s">
        <v>1209</v>
      </c>
    </row>
    <row r="105" spans="1:12" s="2" customFormat="1" ht="14.25" customHeight="1">
      <c r="A105" s="385" t="s">
        <v>353</v>
      </c>
      <c r="B105" s="385"/>
      <c r="C105" s="385"/>
      <c r="D105" s="385"/>
      <c r="E105" s="385"/>
      <c r="F105" s="385"/>
      <c r="G105" s="15">
        <v>220</v>
      </c>
      <c r="H105" s="16"/>
      <c r="I105" s="73"/>
      <c r="J105" s="73"/>
      <c r="L105" s="2" t="s">
        <v>1209</v>
      </c>
    </row>
    <row r="106" spans="1:12" s="2" customFormat="1" ht="14.25" customHeight="1">
      <c r="A106" s="385" t="s">
        <v>354</v>
      </c>
      <c r="B106" s="385"/>
      <c r="C106" s="385"/>
      <c r="D106" s="385"/>
      <c r="E106" s="385"/>
      <c r="F106" s="385"/>
      <c r="G106" s="15">
        <v>221</v>
      </c>
      <c r="H106" s="16"/>
      <c r="I106" s="73"/>
      <c r="J106" s="73"/>
      <c r="L106" s="2" t="s">
        <v>1209</v>
      </c>
    </row>
    <row r="107" spans="1:12" s="2" customFormat="1" ht="24.75" customHeight="1">
      <c r="A107" s="385" t="s">
        <v>355</v>
      </c>
      <c r="B107" s="385"/>
      <c r="C107" s="385"/>
      <c r="D107" s="385"/>
      <c r="E107" s="385"/>
      <c r="F107" s="385"/>
      <c r="G107" s="15">
        <v>222</v>
      </c>
      <c r="H107" s="16"/>
      <c r="I107" s="73"/>
      <c r="J107" s="73"/>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0</v>
      </c>
      <c r="J109" s="83">
        <f>J89+J108</f>
        <v>0</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c r="J112" s="73"/>
      <c r="L112" s="2" t="s">
        <v>1209</v>
      </c>
    </row>
    <row r="113" spans="1:12" s="2" customFormat="1" ht="14.25" customHeight="1">
      <c r="A113" s="407" t="s">
        <v>1099</v>
      </c>
      <c r="B113" s="407"/>
      <c r="C113" s="407"/>
      <c r="D113" s="407"/>
      <c r="E113" s="407"/>
      <c r="F113" s="407"/>
      <c r="G113" s="17">
        <v>227</v>
      </c>
      <c r="H113" s="18"/>
      <c r="I113" s="74"/>
      <c r="J113" s="74"/>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14:F14"/>
    <mergeCell ref="A72:F72"/>
    <mergeCell ref="A68:F68"/>
    <mergeCell ref="A67:F67"/>
    <mergeCell ref="A65:F65"/>
    <mergeCell ref="A66:F66"/>
    <mergeCell ref="A64:F64"/>
    <mergeCell ref="A20:F20"/>
    <mergeCell ref="A39:F39"/>
    <mergeCell ref="A40:F40"/>
    <mergeCell ref="A13:F13"/>
    <mergeCell ref="A21:F21"/>
    <mergeCell ref="A9:F9"/>
    <mergeCell ref="A8:F8"/>
    <mergeCell ref="A22:F22"/>
    <mergeCell ref="A7:F7"/>
    <mergeCell ref="A11:F11"/>
    <mergeCell ref="A17:F17"/>
    <mergeCell ref="A12:F12"/>
    <mergeCell ref="A10:F10"/>
    <mergeCell ref="A88:J88"/>
    <mergeCell ref="A18:F18"/>
    <mergeCell ref="A19:F19"/>
    <mergeCell ref="A26:F26"/>
    <mergeCell ref="A27:F27"/>
    <mergeCell ref="A29:F29"/>
    <mergeCell ref="A36:F36"/>
    <mergeCell ref="A34:F34"/>
    <mergeCell ref="A71:F71"/>
    <mergeCell ref="A55:F55"/>
    <mergeCell ref="A5:J5"/>
    <mergeCell ref="A6:F6"/>
    <mergeCell ref="A2:I2"/>
    <mergeCell ref="A3:I3"/>
    <mergeCell ref="J2:J3"/>
    <mergeCell ref="A31:F31"/>
    <mergeCell ref="A16:F16"/>
    <mergeCell ref="A23:F23"/>
    <mergeCell ref="A24:F24"/>
    <mergeCell ref="A15:F15"/>
    <mergeCell ref="A25:F25"/>
    <mergeCell ref="A41:F41"/>
    <mergeCell ref="A28:F28"/>
    <mergeCell ref="A30:F30"/>
    <mergeCell ref="A33:F33"/>
    <mergeCell ref="A42:F42"/>
    <mergeCell ref="A48:F48"/>
    <mergeCell ref="A46:F46"/>
    <mergeCell ref="A47:F47"/>
    <mergeCell ref="A49:F49"/>
    <mergeCell ref="A38:F38"/>
    <mergeCell ref="A35:F35"/>
    <mergeCell ref="A45:F45"/>
    <mergeCell ref="A43:F43"/>
    <mergeCell ref="A44:F44"/>
    <mergeCell ref="A37:F37"/>
    <mergeCell ref="A32:F32"/>
    <mergeCell ref="A102:F102"/>
    <mergeCell ref="A87:F87"/>
    <mergeCell ref="A50:F50"/>
    <mergeCell ref="A51:F51"/>
    <mergeCell ref="A57:F57"/>
    <mergeCell ref="A56:F56"/>
    <mergeCell ref="A61:F61"/>
    <mergeCell ref="A103:F103"/>
    <mergeCell ref="A63:F63"/>
    <mergeCell ref="A52:F52"/>
    <mergeCell ref="A53:F53"/>
    <mergeCell ref="A54:F54"/>
    <mergeCell ref="A104:F104"/>
    <mergeCell ref="A58:F58"/>
    <mergeCell ref="A59:F59"/>
    <mergeCell ref="A60:F60"/>
    <mergeCell ref="A62:F62"/>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J85" sqref="J85"/>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47" t="s">
        <v>821</v>
      </c>
      <c r="B2" s="448"/>
      <c r="C2" s="448"/>
      <c r="D2" s="448"/>
      <c r="E2" s="448"/>
      <c r="F2" s="448"/>
      <c r="G2" s="448"/>
      <c r="H2" s="448"/>
      <c r="I2" s="449"/>
      <c r="J2" s="389" t="s">
        <v>1211</v>
      </c>
      <c r="Q2" s="70">
        <f>IF(MAX(I9:I88)&gt;0,1,0)</f>
        <v>0</v>
      </c>
      <c r="R2" s="69" t="s">
        <v>1204</v>
      </c>
    </row>
    <row r="3" spans="1:18" s="2" customFormat="1" ht="19.5" customHeight="1" thickBot="1">
      <c r="A3" s="450" t="str">
        <f>"za razdoblje "&amp;IF(RefStr!C4&lt;&gt;"",TEXT(RefStr!C4,"DD.MM.YYYY."),"__.__.____.")&amp;" do "&amp;IF(RefStr!F4&lt;&gt;"",TEXT(RefStr!F4,"DD.MM.YYYY."),"__.__.____.")</f>
        <v>za razdoblje 01.01.2021. do 31.12.2021.</v>
      </c>
      <c r="B3" s="451"/>
      <c r="C3" s="451"/>
      <c r="D3" s="451"/>
      <c r="E3" s="451"/>
      <c r="F3" s="451"/>
      <c r="G3" s="451"/>
      <c r="H3" s="451"/>
      <c r="I3" s="452"/>
      <c r="J3" s="437"/>
      <c r="Q3" s="70">
        <f>IF(MAX(J9:J88)&gt;0,1,0)</f>
        <v>0</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36457028007; Vrelo d.o.o.</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2">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c r="J9" s="89"/>
    </row>
    <row r="10" spans="1:10" s="2" customFormat="1" ht="13.5" customHeight="1">
      <c r="A10" s="413" t="s">
        <v>1008</v>
      </c>
      <c r="B10" s="413"/>
      <c r="C10" s="413"/>
      <c r="D10" s="413"/>
      <c r="E10" s="413"/>
      <c r="F10" s="413"/>
      <c r="G10" s="413"/>
      <c r="H10" s="15">
        <v>229</v>
      </c>
      <c r="I10" s="73"/>
      <c r="J10" s="73"/>
    </row>
    <row r="11" spans="1:10" s="2" customFormat="1" ht="13.5" customHeight="1">
      <c r="A11" s="413" t="s">
        <v>606</v>
      </c>
      <c r="B11" s="413"/>
      <c r="C11" s="413"/>
      <c r="D11" s="413"/>
      <c r="E11" s="413"/>
      <c r="F11" s="413"/>
      <c r="G11" s="413"/>
      <c r="H11" s="15">
        <v>230</v>
      </c>
      <c r="I11" s="73"/>
      <c r="J11" s="73"/>
    </row>
    <row r="12" spans="1:10" s="2" customFormat="1" ht="13.5" customHeight="1">
      <c r="A12" s="413" t="s">
        <v>605</v>
      </c>
      <c r="B12" s="413"/>
      <c r="C12" s="413"/>
      <c r="D12" s="413"/>
      <c r="E12" s="413"/>
      <c r="F12" s="413"/>
      <c r="G12" s="413"/>
      <c r="H12" s="15">
        <v>231</v>
      </c>
      <c r="I12" s="73"/>
      <c r="J12" s="73"/>
    </row>
    <row r="13" spans="1:10" s="2" customFormat="1" ht="13.5" customHeight="1">
      <c r="A13" s="413" t="s">
        <v>604</v>
      </c>
      <c r="B13" s="413"/>
      <c r="C13" s="413"/>
      <c r="D13" s="413"/>
      <c r="E13" s="413"/>
      <c r="F13" s="413"/>
      <c r="G13" s="413"/>
      <c r="H13" s="15">
        <v>232</v>
      </c>
      <c r="I13" s="73"/>
      <c r="J13" s="73"/>
    </row>
    <row r="14" spans="1:10" s="2" customFormat="1" ht="13.5" customHeight="1">
      <c r="A14" s="413" t="s">
        <v>603</v>
      </c>
      <c r="B14" s="413"/>
      <c r="C14" s="413"/>
      <c r="D14" s="413"/>
      <c r="E14" s="413"/>
      <c r="F14" s="413"/>
      <c r="G14" s="413"/>
      <c r="H14" s="15">
        <v>233</v>
      </c>
      <c r="I14" s="73"/>
      <c r="J14" s="73"/>
    </row>
    <row r="15" spans="1:10" s="2" customFormat="1" ht="13.5" customHeight="1">
      <c r="A15" s="425" t="s">
        <v>602</v>
      </c>
      <c r="B15" s="425"/>
      <c r="C15" s="425"/>
      <c r="D15" s="425"/>
      <c r="E15" s="425"/>
      <c r="F15" s="425"/>
      <c r="G15" s="425"/>
      <c r="H15" s="17">
        <v>234</v>
      </c>
      <c r="I15" s="74"/>
      <c r="J15" s="74"/>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c r="J17" s="90"/>
    </row>
    <row r="18" spans="1:10" s="2" customFormat="1" ht="13.5" customHeight="1">
      <c r="A18" s="413" t="s">
        <v>601</v>
      </c>
      <c r="B18" s="413"/>
      <c r="C18" s="413"/>
      <c r="D18" s="413"/>
      <c r="E18" s="413"/>
      <c r="F18" s="413"/>
      <c r="G18" s="426"/>
      <c r="H18" s="15">
        <v>236</v>
      </c>
      <c r="I18" s="73"/>
      <c r="J18" s="73"/>
    </row>
    <row r="19" spans="1:10" s="2" customFormat="1" ht="13.5" customHeight="1">
      <c r="A19" s="413" t="s">
        <v>597</v>
      </c>
      <c r="B19" s="413"/>
      <c r="C19" s="413"/>
      <c r="D19" s="413"/>
      <c r="E19" s="413"/>
      <c r="F19" s="413"/>
      <c r="G19" s="426"/>
      <c r="H19" s="15">
        <v>237</v>
      </c>
      <c r="I19" s="73"/>
      <c r="J19" s="73"/>
    </row>
    <row r="20" spans="1:10" s="2" customFormat="1" ht="13.5" customHeight="1">
      <c r="A20" s="413" t="s">
        <v>598</v>
      </c>
      <c r="B20" s="413"/>
      <c r="C20" s="413"/>
      <c r="D20" s="413"/>
      <c r="E20" s="413"/>
      <c r="F20" s="413"/>
      <c r="G20" s="426"/>
      <c r="H20" s="15">
        <v>238</v>
      </c>
      <c r="I20" s="73"/>
      <c r="J20" s="73"/>
    </row>
    <row r="21" spans="1:10" s="2" customFormat="1" ht="13.5" customHeight="1">
      <c r="A21" s="425" t="s">
        <v>599</v>
      </c>
      <c r="B21" s="425"/>
      <c r="C21" s="425"/>
      <c r="D21" s="425"/>
      <c r="E21" s="425"/>
      <c r="F21" s="425"/>
      <c r="G21" s="432"/>
      <c r="H21" s="17">
        <v>239</v>
      </c>
      <c r="I21" s="74"/>
      <c r="J21" s="74"/>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c r="J23" s="92"/>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c r="J25" s="90"/>
    </row>
    <row r="26" spans="1:10" s="2" customFormat="1" ht="24.75" customHeight="1">
      <c r="A26" s="413" t="s">
        <v>2102</v>
      </c>
      <c r="B26" s="413"/>
      <c r="C26" s="413"/>
      <c r="D26" s="413"/>
      <c r="E26" s="413"/>
      <c r="F26" s="413"/>
      <c r="G26" s="426"/>
      <c r="H26" s="15">
        <v>242</v>
      </c>
      <c r="I26" s="73"/>
      <c r="J26" s="73"/>
    </row>
    <row r="27" spans="1:10" s="2" customFormat="1" ht="13.5" customHeight="1">
      <c r="A27" s="413" t="s">
        <v>1014</v>
      </c>
      <c r="B27" s="413"/>
      <c r="C27" s="413"/>
      <c r="D27" s="413"/>
      <c r="E27" s="413"/>
      <c r="F27" s="413"/>
      <c r="G27" s="426"/>
      <c r="H27" s="15">
        <v>243</v>
      </c>
      <c r="I27" s="73"/>
      <c r="J27" s="73"/>
    </row>
    <row r="28" spans="1:10" s="2" customFormat="1" ht="13.5" customHeight="1">
      <c r="A28" s="413" t="s">
        <v>1015</v>
      </c>
      <c r="B28" s="413"/>
      <c r="C28" s="413"/>
      <c r="D28" s="413"/>
      <c r="E28" s="413"/>
      <c r="F28" s="413"/>
      <c r="G28" s="426"/>
      <c r="H28" s="15">
        <v>244</v>
      </c>
      <c r="I28" s="73"/>
      <c r="J28" s="73"/>
    </row>
    <row r="29" spans="1:10" s="2" customFormat="1" ht="13.5" customHeight="1">
      <c r="A29" s="413" t="s">
        <v>1016</v>
      </c>
      <c r="B29" s="413"/>
      <c r="C29" s="413"/>
      <c r="D29" s="413"/>
      <c r="E29" s="413"/>
      <c r="F29" s="413"/>
      <c r="G29" s="426"/>
      <c r="H29" s="15">
        <v>245</v>
      </c>
      <c r="I29" s="73"/>
      <c r="J29" s="73"/>
    </row>
    <row r="30" spans="1:10" s="2" customFormat="1" ht="13.5" customHeight="1">
      <c r="A30" s="413" t="s">
        <v>1017</v>
      </c>
      <c r="B30" s="413"/>
      <c r="C30" s="413"/>
      <c r="D30" s="413"/>
      <c r="E30" s="413"/>
      <c r="F30" s="413"/>
      <c r="G30" s="426"/>
      <c r="H30" s="15">
        <v>246</v>
      </c>
      <c r="I30" s="73"/>
      <c r="J30" s="73"/>
    </row>
    <row r="31" spans="1:10" s="2" customFormat="1" ht="13.5" customHeight="1">
      <c r="A31" s="413" t="s">
        <v>1018</v>
      </c>
      <c r="B31" s="413"/>
      <c r="C31" s="413"/>
      <c r="D31" s="413"/>
      <c r="E31" s="413"/>
      <c r="F31" s="413"/>
      <c r="G31" s="426"/>
      <c r="H31" s="15">
        <v>247</v>
      </c>
      <c r="I31" s="73"/>
      <c r="J31" s="73"/>
    </row>
    <row r="32" spans="1:10" s="2" customFormat="1" ht="13.5" customHeight="1">
      <c r="A32" s="413" t="s">
        <v>1019</v>
      </c>
      <c r="B32" s="413"/>
      <c r="C32" s="413"/>
      <c r="D32" s="413"/>
      <c r="E32" s="413"/>
      <c r="F32" s="413"/>
      <c r="G32" s="426"/>
      <c r="H32" s="15">
        <v>248</v>
      </c>
      <c r="I32" s="73"/>
      <c r="J32" s="73"/>
    </row>
    <row r="33" spans="1:10" s="2" customFormat="1" ht="24.75" customHeight="1">
      <c r="A33" s="413" t="s">
        <v>2103</v>
      </c>
      <c r="B33" s="413"/>
      <c r="C33" s="413"/>
      <c r="D33" s="413"/>
      <c r="E33" s="413"/>
      <c r="F33" s="413"/>
      <c r="G33" s="426"/>
      <c r="H33" s="15">
        <v>249</v>
      </c>
      <c r="I33" s="73"/>
      <c r="J33" s="73"/>
    </row>
    <row r="34" spans="1:10" s="2" customFormat="1" ht="36" customHeight="1">
      <c r="A34" s="413" t="s">
        <v>2104</v>
      </c>
      <c r="B34" s="413"/>
      <c r="C34" s="413"/>
      <c r="D34" s="413"/>
      <c r="E34" s="413"/>
      <c r="F34" s="413"/>
      <c r="G34" s="426"/>
      <c r="H34" s="15">
        <v>250</v>
      </c>
      <c r="I34" s="73"/>
      <c r="J34" s="73"/>
    </row>
    <row r="35" spans="1:10" s="2" customFormat="1" ht="36" customHeight="1">
      <c r="A35" s="425" t="s">
        <v>1020</v>
      </c>
      <c r="B35" s="425"/>
      <c r="C35" s="425"/>
      <c r="D35" s="425"/>
      <c r="E35" s="425"/>
      <c r="F35" s="425"/>
      <c r="G35" s="432"/>
      <c r="H35" s="17">
        <v>251</v>
      </c>
      <c r="I35" s="74"/>
      <c r="J35" s="74"/>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c r="J37" s="90"/>
    </row>
    <row r="38" spans="1:10" s="2" customFormat="1" ht="13.5" customHeight="1">
      <c r="A38" s="425" t="s">
        <v>2360</v>
      </c>
      <c r="B38" s="425"/>
      <c r="C38" s="425"/>
      <c r="D38" s="425"/>
      <c r="E38" s="425"/>
      <c r="F38" s="425"/>
      <c r="G38" s="432"/>
      <c r="H38" s="17">
        <v>253</v>
      </c>
      <c r="I38" s="74"/>
      <c r="J38" s="74"/>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c r="J40" s="92"/>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c r="J42" s="90"/>
    </row>
    <row r="43" spans="1:10" s="2" customFormat="1" ht="13.5" customHeight="1">
      <c r="A43" s="413" t="s">
        <v>1024</v>
      </c>
      <c r="B43" s="413"/>
      <c r="C43" s="413"/>
      <c r="D43" s="413"/>
      <c r="E43" s="413"/>
      <c r="F43" s="413"/>
      <c r="G43" s="426"/>
      <c r="H43" s="15">
        <v>256</v>
      </c>
      <c r="I43" s="73"/>
      <c r="J43" s="73"/>
    </row>
    <row r="44" spans="1:10" s="2" customFormat="1" ht="13.5" customHeight="1">
      <c r="A44" s="433" t="s">
        <v>1027</v>
      </c>
      <c r="B44" s="433"/>
      <c r="C44" s="433"/>
      <c r="D44" s="433"/>
      <c r="E44" s="433"/>
      <c r="F44" s="433"/>
      <c r="G44" s="434"/>
      <c r="H44" s="15">
        <v>257</v>
      </c>
      <c r="I44" s="73"/>
      <c r="J44" s="73"/>
    </row>
    <row r="45" spans="1:10" s="2" customFormat="1" ht="13.5" customHeight="1">
      <c r="A45" s="413" t="s">
        <v>1025</v>
      </c>
      <c r="B45" s="413"/>
      <c r="C45" s="413"/>
      <c r="D45" s="413"/>
      <c r="E45" s="413"/>
      <c r="F45" s="413"/>
      <c r="G45" s="426"/>
      <c r="H45" s="15">
        <v>258</v>
      </c>
      <c r="I45" s="73"/>
      <c r="J45" s="73"/>
    </row>
    <row r="46" spans="1:10" s="2" customFormat="1" ht="24.75" customHeight="1">
      <c r="A46" s="413" t="s">
        <v>1028</v>
      </c>
      <c r="B46" s="413"/>
      <c r="C46" s="413"/>
      <c r="D46" s="413"/>
      <c r="E46" s="413"/>
      <c r="F46" s="413"/>
      <c r="G46" s="426"/>
      <c r="H46" s="15">
        <v>259</v>
      </c>
      <c r="I46" s="73"/>
      <c r="J46" s="73"/>
    </row>
    <row r="47" spans="1:10" s="2" customFormat="1" ht="13.5" customHeight="1">
      <c r="A47" s="425" t="s">
        <v>1026</v>
      </c>
      <c r="B47" s="425"/>
      <c r="C47" s="425"/>
      <c r="D47" s="425"/>
      <c r="E47" s="425"/>
      <c r="F47" s="425"/>
      <c r="G47" s="432"/>
      <c r="H47" s="17">
        <v>260</v>
      </c>
      <c r="I47" s="74"/>
      <c r="J47" s="74"/>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c r="J49" s="90"/>
    </row>
    <row r="50" spans="1:10" s="2" customFormat="1" ht="13.5" customHeight="1">
      <c r="A50" s="413" t="s">
        <v>1032</v>
      </c>
      <c r="B50" s="413"/>
      <c r="C50" s="413"/>
      <c r="D50" s="413"/>
      <c r="E50" s="413"/>
      <c r="F50" s="413"/>
      <c r="G50" s="426"/>
      <c r="H50" s="15">
        <v>262</v>
      </c>
      <c r="I50" s="73"/>
      <c r="J50" s="73"/>
    </row>
    <row r="51" spans="1:10" s="2" customFormat="1" ht="24.75" customHeight="1">
      <c r="A51" s="413" t="s">
        <v>2106</v>
      </c>
      <c r="B51" s="413"/>
      <c r="C51" s="413"/>
      <c r="D51" s="413"/>
      <c r="E51" s="413"/>
      <c r="F51" s="413"/>
      <c r="G51" s="426"/>
      <c r="H51" s="15">
        <v>263</v>
      </c>
      <c r="I51" s="73"/>
      <c r="J51" s="73"/>
    </row>
    <row r="52" spans="1:10" s="2" customFormat="1" ht="24.75" customHeight="1">
      <c r="A52" s="413" t="s">
        <v>643</v>
      </c>
      <c r="B52" s="413"/>
      <c r="C52" s="413"/>
      <c r="D52" s="413"/>
      <c r="E52" s="413"/>
      <c r="F52" s="413"/>
      <c r="G52" s="426"/>
      <c r="H52" s="15">
        <v>264</v>
      </c>
      <c r="I52" s="73"/>
      <c r="J52" s="73"/>
    </row>
    <row r="53" spans="1:10" s="2" customFormat="1" ht="13.5" customHeight="1">
      <c r="A53" s="413" t="s">
        <v>1033</v>
      </c>
      <c r="B53" s="413"/>
      <c r="C53" s="413"/>
      <c r="D53" s="413"/>
      <c r="E53" s="413"/>
      <c r="F53" s="413"/>
      <c r="G53" s="426"/>
      <c r="H53" s="15">
        <v>265</v>
      </c>
      <c r="I53" s="73"/>
      <c r="J53" s="73"/>
    </row>
    <row r="54" spans="1:10" s="2" customFormat="1" ht="13.5" customHeight="1">
      <c r="A54" s="413" t="s">
        <v>1034</v>
      </c>
      <c r="B54" s="413"/>
      <c r="C54" s="413"/>
      <c r="D54" s="413"/>
      <c r="E54" s="413"/>
      <c r="F54" s="413"/>
      <c r="G54" s="426"/>
      <c r="H54" s="15">
        <v>266</v>
      </c>
      <c r="I54" s="73"/>
      <c r="J54" s="73"/>
    </row>
    <row r="55" spans="1:10" s="2" customFormat="1" ht="13.5" customHeight="1">
      <c r="A55" s="413" t="s">
        <v>2815</v>
      </c>
      <c r="B55" s="413"/>
      <c r="C55" s="413"/>
      <c r="D55" s="413"/>
      <c r="E55" s="413"/>
      <c r="F55" s="413"/>
      <c r="G55" s="426"/>
      <c r="H55" s="15">
        <v>267</v>
      </c>
      <c r="I55" s="73"/>
      <c r="J55" s="73"/>
    </row>
    <row r="56" spans="1:10" s="2" customFormat="1" ht="13.5" customHeight="1">
      <c r="A56" s="413" t="s">
        <v>2816</v>
      </c>
      <c r="B56" s="413"/>
      <c r="C56" s="413"/>
      <c r="D56" s="413"/>
      <c r="E56" s="413"/>
      <c r="F56" s="413"/>
      <c r="G56" s="426"/>
      <c r="H56" s="15">
        <v>268</v>
      </c>
      <c r="I56" s="73"/>
      <c r="J56" s="73"/>
    </row>
    <row r="57" spans="1:10" s="2" customFormat="1" ht="25.5" customHeight="1">
      <c r="A57" s="413" t="s">
        <v>644</v>
      </c>
      <c r="B57" s="413"/>
      <c r="C57" s="413"/>
      <c r="D57" s="413"/>
      <c r="E57" s="413"/>
      <c r="F57" s="413"/>
      <c r="G57" s="426"/>
      <c r="H57" s="15">
        <v>269</v>
      </c>
      <c r="I57" s="73"/>
      <c r="J57" s="73"/>
    </row>
    <row r="58" spans="1:10" s="2" customFormat="1" ht="13.5" customHeight="1">
      <c r="A58" s="413" t="s">
        <v>2817</v>
      </c>
      <c r="B58" s="413"/>
      <c r="C58" s="413"/>
      <c r="D58" s="413"/>
      <c r="E58" s="413"/>
      <c r="F58" s="413"/>
      <c r="G58" s="426"/>
      <c r="H58" s="15">
        <v>270</v>
      </c>
      <c r="I58" s="73"/>
      <c r="J58" s="73"/>
    </row>
    <row r="59" spans="1:10" s="2" customFormat="1" ht="13.5" customHeight="1">
      <c r="A59" s="413" t="s">
        <v>2818</v>
      </c>
      <c r="B59" s="413"/>
      <c r="C59" s="413"/>
      <c r="D59" s="413"/>
      <c r="E59" s="413"/>
      <c r="F59" s="413"/>
      <c r="G59" s="426"/>
      <c r="H59" s="15">
        <v>271</v>
      </c>
      <c r="I59" s="73"/>
      <c r="J59" s="73"/>
    </row>
    <row r="60" spans="1:10" s="2" customFormat="1" ht="13.5" customHeight="1">
      <c r="A60" s="413" t="s">
        <v>2819</v>
      </c>
      <c r="B60" s="413"/>
      <c r="C60" s="413"/>
      <c r="D60" s="413"/>
      <c r="E60" s="413"/>
      <c r="F60" s="413"/>
      <c r="G60" s="426"/>
      <c r="H60" s="15">
        <v>272</v>
      </c>
      <c r="I60" s="73"/>
      <c r="J60" s="73"/>
    </row>
    <row r="61" spans="1:10" s="2" customFormat="1" ht="13.5" customHeight="1">
      <c r="A61" s="433" t="s">
        <v>645</v>
      </c>
      <c r="B61" s="433"/>
      <c r="C61" s="433"/>
      <c r="D61" s="433"/>
      <c r="E61" s="433"/>
      <c r="F61" s="433"/>
      <c r="G61" s="434"/>
      <c r="H61" s="15">
        <v>273</v>
      </c>
      <c r="I61" s="73"/>
      <c r="J61" s="73"/>
    </row>
    <row r="62" spans="1:10" s="2" customFormat="1" ht="13.5" customHeight="1">
      <c r="A62" s="413" t="s">
        <v>2820</v>
      </c>
      <c r="B62" s="413"/>
      <c r="C62" s="413"/>
      <c r="D62" s="413"/>
      <c r="E62" s="413"/>
      <c r="F62" s="413"/>
      <c r="G62" s="426"/>
      <c r="H62" s="15">
        <v>274</v>
      </c>
      <c r="I62" s="73"/>
      <c r="J62" s="73"/>
    </row>
    <row r="63" spans="1:10" s="2" customFormat="1" ht="13.5" customHeight="1">
      <c r="A63" s="413" t="s">
        <v>2821</v>
      </c>
      <c r="B63" s="413"/>
      <c r="C63" s="413"/>
      <c r="D63" s="413"/>
      <c r="E63" s="413"/>
      <c r="F63" s="413"/>
      <c r="G63" s="426"/>
      <c r="H63" s="15">
        <v>275</v>
      </c>
      <c r="I63" s="73"/>
      <c r="J63" s="73"/>
    </row>
    <row r="64" spans="1:10" s="2" customFormat="1" ht="13.5" customHeight="1">
      <c r="A64" s="413" t="s">
        <v>2822</v>
      </c>
      <c r="B64" s="413"/>
      <c r="C64" s="413"/>
      <c r="D64" s="413"/>
      <c r="E64" s="413"/>
      <c r="F64" s="413"/>
      <c r="G64" s="426"/>
      <c r="H64" s="15">
        <v>276</v>
      </c>
      <c r="I64" s="73"/>
      <c r="J64" s="73"/>
    </row>
    <row r="65" spans="1:10" s="2" customFormat="1" ht="13.5" customHeight="1">
      <c r="A65" s="413" t="s">
        <v>642</v>
      </c>
      <c r="B65" s="413"/>
      <c r="C65" s="413"/>
      <c r="D65" s="413"/>
      <c r="E65" s="413"/>
      <c r="F65" s="413"/>
      <c r="G65" s="426"/>
      <c r="H65" s="15">
        <v>277</v>
      </c>
      <c r="I65" s="73"/>
      <c r="J65" s="73"/>
    </row>
    <row r="66" spans="1:10" s="2" customFormat="1" ht="13.5" customHeight="1">
      <c r="A66" s="433" t="s">
        <v>2658</v>
      </c>
      <c r="B66" s="433"/>
      <c r="C66" s="433"/>
      <c r="D66" s="433"/>
      <c r="E66" s="433"/>
      <c r="F66" s="433"/>
      <c r="G66" s="434"/>
      <c r="H66" s="15">
        <v>278</v>
      </c>
      <c r="I66" s="73"/>
      <c r="J66" s="73"/>
    </row>
    <row r="67" spans="1:10" s="2" customFormat="1" ht="24.75" customHeight="1">
      <c r="A67" s="413" t="s">
        <v>2107</v>
      </c>
      <c r="B67" s="413"/>
      <c r="C67" s="413"/>
      <c r="D67" s="413"/>
      <c r="E67" s="413"/>
      <c r="F67" s="413"/>
      <c r="G67" s="426"/>
      <c r="H67" s="15">
        <v>279</v>
      </c>
      <c r="I67" s="73"/>
      <c r="J67" s="73"/>
    </row>
    <row r="68" spans="1:10" s="2" customFormat="1" ht="13.5" customHeight="1">
      <c r="A68" s="413" t="s">
        <v>648</v>
      </c>
      <c r="B68" s="413"/>
      <c r="C68" s="413"/>
      <c r="D68" s="413"/>
      <c r="E68" s="413"/>
      <c r="F68" s="413"/>
      <c r="G68" s="426"/>
      <c r="H68" s="15">
        <v>280</v>
      </c>
      <c r="I68" s="73"/>
      <c r="J68" s="73"/>
    </row>
    <row r="69" spans="1:10" s="2" customFormat="1" ht="13.5" customHeight="1">
      <c r="A69" s="413" t="s">
        <v>647</v>
      </c>
      <c r="B69" s="413"/>
      <c r="C69" s="413"/>
      <c r="D69" s="413"/>
      <c r="E69" s="413"/>
      <c r="F69" s="413"/>
      <c r="G69" s="426"/>
      <c r="H69" s="15">
        <v>281</v>
      </c>
      <c r="I69" s="73"/>
      <c r="J69" s="73"/>
    </row>
    <row r="70" spans="1:10" s="2" customFormat="1" ht="24.75" customHeight="1">
      <c r="A70" s="413" t="s">
        <v>646</v>
      </c>
      <c r="B70" s="413"/>
      <c r="C70" s="413"/>
      <c r="D70" s="413"/>
      <c r="E70" s="413"/>
      <c r="F70" s="413"/>
      <c r="G70" s="426"/>
      <c r="H70" s="15">
        <v>282</v>
      </c>
      <c r="I70" s="73"/>
      <c r="J70" s="73"/>
    </row>
    <row r="71" spans="1:10" s="2" customFormat="1" ht="13.5" customHeight="1">
      <c r="A71" s="425" t="s">
        <v>2055</v>
      </c>
      <c r="B71" s="425"/>
      <c r="C71" s="425"/>
      <c r="D71" s="425"/>
      <c r="E71" s="425"/>
      <c r="F71" s="425"/>
      <c r="G71" s="432"/>
      <c r="H71" s="17">
        <v>283</v>
      </c>
      <c r="I71" s="74"/>
      <c r="J71" s="74"/>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c r="J73" s="90"/>
    </row>
    <row r="74" spans="1:10" s="2" customFormat="1" ht="13.5" customHeight="1">
      <c r="A74" s="413" t="s">
        <v>991</v>
      </c>
      <c r="B74" s="413"/>
      <c r="C74" s="413"/>
      <c r="D74" s="413"/>
      <c r="E74" s="413"/>
      <c r="F74" s="413"/>
      <c r="G74" s="426"/>
      <c r="H74" s="15">
        <v>285</v>
      </c>
      <c r="I74" s="73"/>
      <c r="J74" s="73"/>
    </row>
    <row r="75" spans="1:10" s="2" customFormat="1" ht="13.5" customHeight="1">
      <c r="A75" s="413" t="s">
        <v>2231</v>
      </c>
      <c r="B75" s="413"/>
      <c r="C75" s="413"/>
      <c r="D75" s="413"/>
      <c r="E75" s="413"/>
      <c r="F75" s="413"/>
      <c r="G75" s="426"/>
      <c r="H75" s="15">
        <v>286</v>
      </c>
      <c r="I75" s="73"/>
      <c r="J75" s="73"/>
    </row>
    <row r="76" spans="1:10" s="2" customFormat="1" ht="13.5" customHeight="1">
      <c r="A76" s="425" t="s">
        <v>2232</v>
      </c>
      <c r="B76" s="425"/>
      <c r="C76" s="425"/>
      <c r="D76" s="425"/>
      <c r="E76" s="425"/>
      <c r="F76" s="425"/>
      <c r="G76" s="432"/>
      <c r="H76" s="17">
        <v>287</v>
      </c>
      <c r="I76" s="74"/>
      <c r="J76" s="74"/>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0</v>
      </c>
      <c r="J78" s="220">
        <f>SUM(J79:J82)</f>
        <v>0</v>
      </c>
    </row>
    <row r="79" spans="1:10" s="2" customFormat="1" ht="13.5" customHeight="1">
      <c r="A79" s="413" t="s">
        <v>1479</v>
      </c>
      <c r="B79" s="413"/>
      <c r="C79" s="413"/>
      <c r="D79" s="413"/>
      <c r="E79" s="413"/>
      <c r="F79" s="413"/>
      <c r="G79" s="426"/>
      <c r="H79" s="15">
        <v>289</v>
      </c>
      <c r="I79" s="73"/>
      <c r="J79" s="73"/>
    </row>
    <row r="80" spans="1:10" s="2" customFormat="1" ht="13.5" customHeight="1">
      <c r="A80" s="413" t="s">
        <v>1480</v>
      </c>
      <c r="B80" s="413"/>
      <c r="C80" s="413"/>
      <c r="D80" s="413"/>
      <c r="E80" s="413"/>
      <c r="F80" s="413"/>
      <c r="G80" s="426"/>
      <c r="H80" s="15">
        <v>290</v>
      </c>
      <c r="I80" s="73"/>
      <c r="J80" s="73"/>
    </row>
    <row r="81" spans="1:10" s="2" customFormat="1" ht="13.5" customHeight="1">
      <c r="A81" s="413" t="s">
        <v>201</v>
      </c>
      <c r="B81" s="413"/>
      <c r="C81" s="413"/>
      <c r="D81" s="413"/>
      <c r="E81" s="413"/>
      <c r="F81" s="413"/>
      <c r="G81" s="426"/>
      <c r="H81" s="15">
        <v>291</v>
      </c>
      <c r="I81" s="73"/>
      <c r="J81" s="73"/>
    </row>
    <row r="82" spans="1:10" s="2" customFormat="1" ht="36" customHeight="1">
      <c r="A82" s="413" t="s">
        <v>204</v>
      </c>
      <c r="B82" s="413"/>
      <c r="C82" s="413"/>
      <c r="D82" s="413"/>
      <c r="E82" s="413"/>
      <c r="F82" s="413"/>
      <c r="G82" s="426"/>
      <c r="H82" s="15">
        <v>292</v>
      </c>
      <c r="I82" s="73"/>
      <c r="J82" s="73"/>
    </row>
    <row r="83" spans="1:10" s="2" customFormat="1" ht="13.5" customHeight="1">
      <c r="A83" s="413" t="s">
        <v>202</v>
      </c>
      <c r="B83" s="413"/>
      <c r="C83" s="413"/>
      <c r="D83" s="413"/>
      <c r="E83" s="413"/>
      <c r="F83" s="413"/>
      <c r="G83" s="426"/>
      <c r="H83" s="15">
        <v>293</v>
      </c>
      <c r="I83" s="73"/>
      <c r="J83" s="73"/>
    </row>
    <row r="84" spans="1:10" s="2" customFormat="1" ht="13.5" customHeight="1">
      <c r="A84" s="413" t="s">
        <v>203</v>
      </c>
      <c r="B84" s="413"/>
      <c r="C84" s="413"/>
      <c r="D84" s="413"/>
      <c r="E84" s="413"/>
      <c r="F84" s="413"/>
      <c r="G84" s="426"/>
      <c r="H84" s="15">
        <v>294</v>
      </c>
      <c r="I84" s="73"/>
      <c r="J84" s="73"/>
    </row>
    <row r="85" spans="1:10" s="2" customFormat="1" ht="24.75" customHeight="1">
      <c r="A85" s="413" t="s">
        <v>2108</v>
      </c>
      <c r="B85" s="413"/>
      <c r="C85" s="413"/>
      <c r="D85" s="413"/>
      <c r="E85" s="413"/>
      <c r="F85" s="413"/>
      <c r="G85" s="426"/>
      <c r="H85" s="15">
        <v>295</v>
      </c>
      <c r="I85" s="73"/>
      <c r="J85" s="73"/>
    </row>
    <row r="86" spans="1:10" s="2" customFormat="1" ht="24.75" customHeight="1">
      <c r="A86" s="425" t="s">
        <v>205</v>
      </c>
      <c r="B86" s="425"/>
      <c r="C86" s="425"/>
      <c r="D86" s="425"/>
      <c r="E86" s="425"/>
      <c r="F86" s="425"/>
      <c r="G86" s="432"/>
      <c r="H86" s="17">
        <v>296</v>
      </c>
      <c r="I86" s="74"/>
      <c r="J86" s="74"/>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c r="J88" s="92"/>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47" t="s">
        <v>1102</v>
      </c>
      <c r="B2" s="448"/>
      <c r="C2" s="448"/>
      <c r="D2" s="448"/>
      <c r="E2" s="448"/>
      <c r="F2" s="448"/>
      <c r="G2" s="448"/>
      <c r="H2" s="448"/>
      <c r="I2" s="453"/>
      <c r="J2" s="389" t="s">
        <v>1212</v>
      </c>
      <c r="Q2" s="70">
        <f>IF(OR(MIN(I8:I60)&lt;0,MAX(I8:I60)&gt;0),1,0)</f>
        <v>0</v>
      </c>
      <c r="R2" s="69" t="s">
        <v>1204</v>
      </c>
    </row>
    <row r="3" spans="1:18" s="2" customFormat="1" ht="19.5" customHeight="1" thickBot="1">
      <c r="A3" s="450" t="str">
        <f>"u razdoblju "&amp;IF(RefStr!C4&lt;&gt;"",TEXT(RefStr!C4,"DD.MM.YYYY."),"__.__.____.")&amp;" do "&amp;IF(RefStr!F4&lt;&gt;"",TEXT(RefStr!F4,"DD.MM.YYYY."),"__.__.____.")</f>
        <v>u razdoblju 01.01.2021. do 31.12.2021.</v>
      </c>
      <c r="B3" s="451"/>
      <c r="C3" s="451"/>
      <c r="D3" s="451"/>
      <c r="E3" s="451"/>
      <c r="F3" s="451"/>
      <c r="G3" s="451"/>
      <c r="H3" s="451"/>
      <c r="I3" s="454"/>
      <c r="J3" s="437"/>
      <c r="Q3" s="70">
        <f>IF(OR(MIN(J8:J60)&lt;0,MAX(J8:J60)&gt;0),1,0)</f>
        <v>0</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36457028007; Vrelo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c r="J9" s="138"/>
    </row>
    <row r="10" spans="1:10" s="2" customFormat="1" ht="13.5" customHeight="1">
      <c r="A10" s="413" t="s">
        <v>71</v>
      </c>
      <c r="B10" s="413"/>
      <c r="C10" s="413"/>
      <c r="D10" s="413"/>
      <c r="E10" s="413"/>
      <c r="F10" s="413"/>
      <c r="G10" s="15">
        <v>2</v>
      </c>
      <c r="H10" s="19"/>
      <c r="I10" s="121">
        <f>SUM(I11:I18)</f>
        <v>0</v>
      </c>
      <c r="J10" s="121">
        <f>SUM(J11:J18)</f>
        <v>0</v>
      </c>
    </row>
    <row r="11" spans="1:12" s="2" customFormat="1" ht="13.5" customHeight="1">
      <c r="A11" s="433" t="s">
        <v>1543</v>
      </c>
      <c r="B11" s="433"/>
      <c r="C11" s="433"/>
      <c r="D11" s="433"/>
      <c r="E11" s="433"/>
      <c r="F11" s="433"/>
      <c r="G11" s="15">
        <v>3</v>
      </c>
      <c r="H11" s="19"/>
      <c r="I11" s="122"/>
      <c r="J11" s="122"/>
      <c r="L11" s="2" t="s">
        <v>2525</v>
      </c>
    </row>
    <row r="12" spans="1:10" s="2" customFormat="1" ht="24.75" customHeight="1">
      <c r="A12" s="433" t="s">
        <v>2441</v>
      </c>
      <c r="B12" s="433"/>
      <c r="C12" s="433"/>
      <c r="D12" s="433"/>
      <c r="E12" s="433"/>
      <c r="F12" s="433"/>
      <c r="G12" s="15">
        <v>4</v>
      </c>
      <c r="H12" s="19"/>
      <c r="I12" s="122"/>
      <c r="J12" s="122"/>
    </row>
    <row r="13" spans="1:10" s="2" customFormat="1" ht="24.75" customHeight="1">
      <c r="A13" s="433" t="s">
        <v>2442</v>
      </c>
      <c r="B13" s="433"/>
      <c r="C13" s="433"/>
      <c r="D13" s="433"/>
      <c r="E13" s="433"/>
      <c r="F13" s="433"/>
      <c r="G13" s="15">
        <v>5</v>
      </c>
      <c r="H13" s="19"/>
      <c r="I13" s="122"/>
      <c r="J13" s="122"/>
    </row>
    <row r="14" spans="1:12" s="2" customFormat="1" ht="13.5" customHeight="1">
      <c r="A14" s="433" t="s">
        <v>1544</v>
      </c>
      <c r="B14" s="433"/>
      <c r="C14" s="433"/>
      <c r="D14" s="433"/>
      <c r="E14" s="433"/>
      <c r="F14" s="433"/>
      <c r="G14" s="15">
        <v>6</v>
      </c>
      <c r="H14" s="19"/>
      <c r="I14" s="122"/>
      <c r="J14" s="122"/>
      <c r="L14" s="2" t="s">
        <v>1209</v>
      </c>
    </row>
    <row r="15" spans="1:12" s="2" customFormat="1" ht="13.5" customHeight="1">
      <c r="A15" s="433" t="s">
        <v>1545</v>
      </c>
      <c r="B15" s="433"/>
      <c r="C15" s="433"/>
      <c r="D15" s="433"/>
      <c r="E15" s="433"/>
      <c r="F15" s="433"/>
      <c r="G15" s="15">
        <v>7</v>
      </c>
      <c r="H15" s="19"/>
      <c r="I15" s="122"/>
      <c r="J15" s="122"/>
      <c r="L15" s="2" t="s">
        <v>2525</v>
      </c>
    </row>
    <row r="16" spans="1:10" s="2" customFormat="1" ht="13.5" customHeight="1">
      <c r="A16" s="433" t="s">
        <v>1546</v>
      </c>
      <c r="B16" s="433"/>
      <c r="C16" s="433"/>
      <c r="D16" s="433"/>
      <c r="E16" s="433"/>
      <c r="F16" s="433"/>
      <c r="G16" s="15">
        <v>8</v>
      </c>
      <c r="H16" s="19"/>
      <c r="I16" s="122"/>
      <c r="J16" s="122"/>
    </row>
    <row r="17" spans="1:10" s="2" customFormat="1" ht="13.5" customHeight="1">
      <c r="A17" s="433" t="s">
        <v>1547</v>
      </c>
      <c r="B17" s="433"/>
      <c r="C17" s="433"/>
      <c r="D17" s="433"/>
      <c r="E17" s="433"/>
      <c r="F17" s="433"/>
      <c r="G17" s="15">
        <v>9</v>
      </c>
      <c r="H17" s="19"/>
      <c r="I17" s="122"/>
      <c r="J17" s="122"/>
    </row>
    <row r="18" spans="1:10" s="2" customFormat="1" ht="13.5" customHeight="1">
      <c r="A18" s="433" t="s">
        <v>2440</v>
      </c>
      <c r="B18" s="433"/>
      <c r="C18" s="433"/>
      <c r="D18" s="433"/>
      <c r="E18" s="433"/>
      <c r="F18" s="433"/>
      <c r="G18" s="15">
        <v>10</v>
      </c>
      <c r="H18" s="19"/>
      <c r="I18" s="122"/>
      <c r="J18" s="122"/>
    </row>
    <row r="19" spans="1:14" s="2" customFormat="1" ht="24.75" customHeight="1">
      <c r="A19" s="408" t="s">
        <v>2439</v>
      </c>
      <c r="B19" s="408"/>
      <c r="C19" s="408"/>
      <c r="D19" s="408"/>
      <c r="E19" s="408"/>
      <c r="F19" s="408"/>
      <c r="G19" s="15">
        <v>11</v>
      </c>
      <c r="H19" s="19"/>
      <c r="I19" s="121">
        <f>I9+I10</f>
        <v>0</v>
      </c>
      <c r="J19" s="121">
        <f>J9+J10</f>
        <v>0</v>
      </c>
      <c r="N19" s="2">
        <f>IF(MIN(NT_I!I11:J11,NT_I!I15:J15,NT_I!I30:J36,NT_I!I59:J60)&lt;0,1,0)</f>
        <v>0</v>
      </c>
    </row>
    <row r="20" spans="1:10" s="2" customFormat="1" ht="13.5" customHeight="1">
      <c r="A20" s="413" t="s">
        <v>21</v>
      </c>
      <c r="B20" s="413"/>
      <c r="C20" s="413"/>
      <c r="D20" s="413"/>
      <c r="E20" s="413"/>
      <c r="F20" s="413"/>
      <c r="G20" s="15">
        <v>12</v>
      </c>
      <c r="H20" s="19"/>
      <c r="I20" s="121">
        <f>SUM(I21:I24)</f>
        <v>0</v>
      </c>
      <c r="J20" s="121">
        <f>SUM(J21:J24)</f>
        <v>0</v>
      </c>
    </row>
    <row r="21" spans="1:10" s="2" customFormat="1" ht="13.5" customHeight="1">
      <c r="A21" s="433" t="s">
        <v>2353</v>
      </c>
      <c r="B21" s="433"/>
      <c r="C21" s="433"/>
      <c r="D21" s="433"/>
      <c r="E21" s="433"/>
      <c r="F21" s="433"/>
      <c r="G21" s="15">
        <v>13</v>
      </c>
      <c r="H21" s="19"/>
      <c r="I21" s="122"/>
      <c r="J21" s="122"/>
    </row>
    <row r="22" spans="1:10" s="2" customFormat="1" ht="13.5" customHeight="1">
      <c r="A22" s="433" t="s">
        <v>2354</v>
      </c>
      <c r="B22" s="433"/>
      <c r="C22" s="433"/>
      <c r="D22" s="433"/>
      <c r="E22" s="433"/>
      <c r="F22" s="433"/>
      <c r="G22" s="15">
        <v>14</v>
      </c>
      <c r="H22" s="19"/>
      <c r="I22" s="122"/>
      <c r="J22" s="122"/>
    </row>
    <row r="23" spans="1:10" s="2" customFormat="1" ht="13.5" customHeight="1">
      <c r="A23" s="433" t="s">
        <v>2355</v>
      </c>
      <c r="B23" s="433"/>
      <c r="C23" s="433"/>
      <c r="D23" s="433"/>
      <c r="E23" s="433"/>
      <c r="F23" s="433"/>
      <c r="G23" s="15">
        <v>15</v>
      </c>
      <c r="H23" s="19"/>
      <c r="I23" s="122"/>
      <c r="J23" s="122"/>
    </row>
    <row r="24" spans="1:10" s="2" customFormat="1" ht="13.5" customHeight="1">
      <c r="A24" s="433" t="s">
        <v>2356</v>
      </c>
      <c r="B24" s="433"/>
      <c r="C24" s="433"/>
      <c r="D24" s="433"/>
      <c r="E24" s="433"/>
      <c r="F24" s="433"/>
      <c r="G24" s="15">
        <v>16</v>
      </c>
      <c r="H24" s="19"/>
      <c r="I24" s="122"/>
      <c r="J24" s="122"/>
    </row>
    <row r="25" spans="1:10" s="2" customFormat="1" ht="13.5" customHeight="1">
      <c r="A25" s="408" t="s">
        <v>2936</v>
      </c>
      <c r="B25" s="408"/>
      <c r="C25" s="408"/>
      <c r="D25" s="408"/>
      <c r="E25" s="408"/>
      <c r="F25" s="408"/>
      <c r="G25" s="15">
        <v>17</v>
      </c>
      <c r="H25" s="19"/>
      <c r="I25" s="121">
        <f>I19+I20</f>
        <v>0</v>
      </c>
      <c r="J25" s="121">
        <f>J19+J20</f>
        <v>0</v>
      </c>
    </row>
    <row r="26" spans="1:12" s="2" customFormat="1" ht="13.5" customHeight="1">
      <c r="A26" s="413" t="s">
        <v>1787</v>
      </c>
      <c r="B26" s="413"/>
      <c r="C26" s="413"/>
      <c r="D26" s="413"/>
      <c r="E26" s="413"/>
      <c r="F26" s="413"/>
      <c r="G26" s="15">
        <v>18</v>
      </c>
      <c r="H26" s="19"/>
      <c r="I26" s="122"/>
      <c r="J26" s="122"/>
      <c r="L26" s="2" t="s">
        <v>1209</v>
      </c>
    </row>
    <row r="27" spans="1:10" s="2" customFormat="1" ht="13.5" customHeight="1">
      <c r="A27" s="413" t="s">
        <v>1788</v>
      </c>
      <c r="B27" s="413"/>
      <c r="C27" s="413"/>
      <c r="D27" s="413"/>
      <c r="E27" s="413"/>
      <c r="F27" s="413"/>
      <c r="G27" s="15">
        <v>19</v>
      </c>
      <c r="H27" s="19"/>
      <c r="I27" s="122"/>
      <c r="J27" s="122"/>
    </row>
    <row r="28" spans="1:10" s="2" customFormat="1" ht="13.5" customHeight="1">
      <c r="A28" s="459" t="s">
        <v>70</v>
      </c>
      <c r="B28" s="459"/>
      <c r="C28" s="459"/>
      <c r="D28" s="459"/>
      <c r="E28" s="459"/>
      <c r="F28" s="459"/>
      <c r="G28" s="17">
        <v>20</v>
      </c>
      <c r="H28" s="20"/>
      <c r="I28" s="123">
        <f>SUM(I25:I27)</f>
        <v>0</v>
      </c>
      <c r="J28" s="123">
        <f>SUM(J25:J27)</f>
        <v>0</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c r="J30" s="90"/>
      <c r="L30" s="2" t="s">
        <v>2525</v>
      </c>
    </row>
    <row r="31" spans="1:12" s="2" customFormat="1" ht="13.5" customHeight="1">
      <c r="A31" s="413" t="s">
        <v>62</v>
      </c>
      <c r="B31" s="413"/>
      <c r="C31" s="413"/>
      <c r="D31" s="413"/>
      <c r="E31" s="413"/>
      <c r="F31" s="413"/>
      <c r="G31" s="15">
        <v>22</v>
      </c>
      <c r="H31" s="19"/>
      <c r="I31" s="73"/>
      <c r="J31" s="73"/>
      <c r="L31" s="2" t="s">
        <v>2525</v>
      </c>
    </row>
    <row r="32" spans="1:12" s="2" customFormat="1" ht="13.5" customHeight="1">
      <c r="A32" s="413" t="s">
        <v>63</v>
      </c>
      <c r="B32" s="413"/>
      <c r="C32" s="413"/>
      <c r="D32" s="413"/>
      <c r="E32" s="413"/>
      <c r="F32" s="413"/>
      <c r="G32" s="15">
        <v>23</v>
      </c>
      <c r="H32" s="19"/>
      <c r="I32" s="73"/>
      <c r="J32" s="73"/>
      <c r="L32" s="2" t="s">
        <v>2525</v>
      </c>
    </row>
    <row r="33" spans="1:12" s="2" customFormat="1" ht="13.5" customHeight="1">
      <c r="A33" s="413" t="s">
        <v>64</v>
      </c>
      <c r="B33" s="413"/>
      <c r="C33" s="413"/>
      <c r="D33" s="413"/>
      <c r="E33" s="413"/>
      <c r="F33" s="413"/>
      <c r="G33" s="15">
        <v>24</v>
      </c>
      <c r="H33" s="19"/>
      <c r="I33" s="73"/>
      <c r="J33" s="73"/>
      <c r="L33" s="2" t="s">
        <v>2525</v>
      </c>
    </row>
    <row r="34" spans="1:12" s="2" customFormat="1" ht="13.5" customHeight="1">
      <c r="A34" s="413" t="s">
        <v>65</v>
      </c>
      <c r="B34" s="413"/>
      <c r="C34" s="413"/>
      <c r="D34" s="413"/>
      <c r="E34" s="413"/>
      <c r="F34" s="413"/>
      <c r="G34" s="15">
        <v>25</v>
      </c>
      <c r="H34" s="19"/>
      <c r="I34" s="73"/>
      <c r="J34" s="73"/>
      <c r="L34" s="2" t="s">
        <v>2525</v>
      </c>
    </row>
    <row r="35" spans="1:12" s="2" customFormat="1" ht="13.5" customHeight="1">
      <c r="A35" s="413" t="s">
        <v>2358</v>
      </c>
      <c r="B35" s="413"/>
      <c r="C35" s="413"/>
      <c r="D35" s="413"/>
      <c r="E35" s="413"/>
      <c r="F35" s="413"/>
      <c r="G35" s="15">
        <v>26</v>
      </c>
      <c r="H35" s="19"/>
      <c r="I35" s="73"/>
      <c r="J35" s="73"/>
      <c r="L35" s="2" t="s">
        <v>2525</v>
      </c>
    </row>
    <row r="36" spans="1:12" s="2" customFormat="1" ht="13.5" customHeight="1">
      <c r="A36" s="408" t="s">
        <v>2935</v>
      </c>
      <c r="B36" s="408"/>
      <c r="C36" s="408"/>
      <c r="D36" s="408"/>
      <c r="E36" s="408"/>
      <c r="F36" s="408"/>
      <c r="G36" s="15">
        <v>27</v>
      </c>
      <c r="H36" s="19"/>
      <c r="I36" s="82">
        <f>SUM(I30:I35)</f>
        <v>0</v>
      </c>
      <c r="J36" s="82">
        <f>SUM(J30:J35)</f>
        <v>0</v>
      </c>
      <c r="L36" s="2" t="s">
        <v>2525</v>
      </c>
    </row>
    <row r="37" spans="1:12" s="2" customFormat="1" ht="13.5" customHeight="1">
      <c r="A37" s="413" t="s">
        <v>66</v>
      </c>
      <c r="B37" s="413"/>
      <c r="C37" s="413"/>
      <c r="D37" s="413"/>
      <c r="E37" s="413"/>
      <c r="F37" s="413"/>
      <c r="G37" s="15">
        <v>28</v>
      </c>
      <c r="H37" s="19"/>
      <c r="I37" s="73"/>
      <c r="J37" s="73"/>
      <c r="L37" s="2" t="s">
        <v>1209</v>
      </c>
    </row>
    <row r="38" spans="1:12" s="2" customFormat="1" ht="13.5" customHeight="1">
      <c r="A38" s="413" t="s">
        <v>67</v>
      </c>
      <c r="B38" s="413"/>
      <c r="C38" s="413"/>
      <c r="D38" s="413"/>
      <c r="E38" s="413"/>
      <c r="F38" s="413"/>
      <c r="G38" s="15">
        <v>29</v>
      </c>
      <c r="H38" s="19"/>
      <c r="I38" s="73"/>
      <c r="J38" s="73"/>
      <c r="L38" s="2" t="s">
        <v>1209</v>
      </c>
    </row>
    <row r="39" spans="1:12" s="2" customFormat="1" ht="13.5" customHeight="1">
      <c r="A39" s="413" t="s">
        <v>68</v>
      </c>
      <c r="B39" s="413"/>
      <c r="C39" s="413"/>
      <c r="D39" s="413"/>
      <c r="E39" s="413"/>
      <c r="F39" s="413"/>
      <c r="G39" s="15">
        <v>30</v>
      </c>
      <c r="H39" s="19"/>
      <c r="I39" s="73"/>
      <c r="J39" s="73"/>
      <c r="L39" s="2" t="s">
        <v>1209</v>
      </c>
    </row>
    <row r="40" spans="1:10" s="2" customFormat="1" ht="13.5" customHeight="1">
      <c r="A40" s="413" t="s">
        <v>69</v>
      </c>
      <c r="B40" s="413"/>
      <c r="C40" s="413"/>
      <c r="D40" s="413"/>
      <c r="E40" s="413"/>
      <c r="F40" s="413"/>
      <c r="G40" s="15">
        <v>31</v>
      </c>
      <c r="H40" s="19"/>
      <c r="I40" s="73"/>
      <c r="J40" s="73"/>
    </row>
    <row r="41" spans="1:12" s="2" customFormat="1" ht="13.5" customHeight="1">
      <c r="A41" s="413" t="s">
        <v>2359</v>
      </c>
      <c r="B41" s="413"/>
      <c r="C41" s="413"/>
      <c r="D41" s="413"/>
      <c r="E41" s="413"/>
      <c r="F41" s="413"/>
      <c r="G41" s="15">
        <v>32</v>
      </c>
      <c r="H41" s="19"/>
      <c r="I41" s="73"/>
      <c r="J41" s="73"/>
      <c r="L41" s="2" t="s">
        <v>1209</v>
      </c>
    </row>
    <row r="42" spans="1:12" s="2" customFormat="1" ht="13.5" customHeight="1">
      <c r="A42" s="408" t="s">
        <v>2807</v>
      </c>
      <c r="B42" s="408"/>
      <c r="C42" s="408"/>
      <c r="D42" s="408"/>
      <c r="E42" s="408"/>
      <c r="F42" s="408"/>
      <c r="G42" s="15">
        <v>33</v>
      </c>
      <c r="H42" s="19"/>
      <c r="I42" s="82">
        <f>SUM(I37:I41)</f>
        <v>0</v>
      </c>
      <c r="J42" s="82">
        <f>SUM(J37:J41)</f>
        <v>0</v>
      </c>
      <c r="L42" s="2" t="s">
        <v>1209</v>
      </c>
    </row>
    <row r="43" spans="1:10" s="2" customFormat="1" ht="13.5" customHeight="1">
      <c r="A43" s="459" t="s">
        <v>2923</v>
      </c>
      <c r="B43" s="459"/>
      <c r="C43" s="459"/>
      <c r="D43" s="459"/>
      <c r="E43" s="459"/>
      <c r="F43" s="459"/>
      <c r="G43" s="17">
        <v>34</v>
      </c>
      <c r="H43" s="20"/>
      <c r="I43" s="83">
        <f>I36+I42</f>
        <v>0</v>
      </c>
      <c r="J43" s="83">
        <f>J36+J42</f>
        <v>0</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c r="J45" s="90"/>
      <c r="L45" s="2" t="s">
        <v>2525</v>
      </c>
    </row>
    <row r="46" spans="1:12" s="2" customFormat="1" ht="13.5" customHeight="1">
      <c r="A46" s="413" t="s">
        <v>2812</v>
      </c>
      <c r="B46" s="413"/>
      <c r="C46" s="413"/>
      <c r="D46" s="413"/>
      <c r="E46" s="413"/>
      <c r="F46" s="413"/>
      <c r="G46" s="15">
        <v>36</v>
      </c>
      <c r="H46" s="19"/>
      <c r="I46" s="73"/>
      <c r="J46" s="73"/>
      <c r="L46" s="2" t="s">
        <v>2525</v>
      </c>
    </row>
    <row r="47" spans="1:12" s="2" customFormat="1" ht="13.5" customHeight="1">
      <c r="A47" s="413" t="s">
        <v>2813</v>
      </c>
      <c r="B47" s="413"/>
      <c r="C47" s="413"/>
      <c r="D47" s="413"/>
      <c r="E47" s="413"/>
      <c r="F47" s="413"/>
      <c r="G47" s="15">
        <v>37</v>
      </c>
      <c r="H47" s="19"/>
      <c r="I47" s="73"/>
      <c r="J47" s="73"/>
      <c r="L47" s="2" t="s">
        <v>2525</v>
      </c>
    </row>
    <row r="48" spans="1:12" s="2" customFormat="1" ht="13.5" customHeight="1">
      <c r="A48" s="413" t="s">
        <v>2814</v>
      </c>
      <c r="B48" s="413"/>
      <c r="C48" s="413"/>
      <c r="D48" s="413"/>
      <c r="E48" s="413"/>
      <c r="F48" s="413"/>
      <c r="G48" s="15">
        <v>38</v>
      </c>
      <c r="H48" s="19"/>
      <c r="I48" s="73"/>
      <c r="J48" s="73"/>
      <c r="L48" s="2" t="s">
        <v>2525</v>
      </c>
    </row>
    <row r="49" spans="1:12" s="2" customFormat="1" ht="13.5" customHeight="1">
      <c r="A49" s="408" t="s">
        <v>2934</v>
      </c>
      <c r="B49" s="408"/>
      <c r="C49" s="408"/>
      <c r="D49" s="408"/>
      <c r="E49" s="408"/>
      <c r="F49" s="408"/>
      <c r="G49" s="15">
        <v>39</v>
      </c>
      <c r="H49" s="19"/>
      <c r="I49" s="82">
        <f>SUM(I45:I48)</f>
        <v>0</v>
      </c>
      <c r="J49" s="82">
        <f>SUM(J45:J48)</f>
        <v>0</v>
      </c>
      <c r="L49" s="2" t="s">
        <v>2525</v>
      </c>
    </row>
    <row r="50" spans="1:12" s="2" customFormat="1" ht="24.75" customHeight="1">
      <c r="A50" s="413" t="s">
        <v>2562</v>
      </c>
      <c r="B50" s="413"/>
      <c r="C50" s="413"/>
      <c r="D50" s="413"/>
      <c r="E50" s="413"/>
      <c r="F50" s="413"/>
      <c r="G50" s="15">
        <v>40</v>
      </c>
      <c r="H50" s="19"/>
      <c r="I50" s="73"/>
      <c r="J50" s="73"/>
      <c r="L50" s="2" t="s">
        <v>1209</v>
      </c>
    </row>
    <row r="51" spans="1:12" s="2" customFormat="1" ht="13.5" customHeight="1">
      <c r="A51" s="413" t="s">
        <v>2229</v>
      </c>
      <c r="B51" s="413"/>
      <c r="C51" s="413"/>
      <c r="D51" s="413"/>
      <c r="E51" s="413"/>
      <c r="F51" s="413"/>
      <c r="G51" s="15">
        <v>41</v>
      </c>
      <c r="H51" s="19"/>
      <c r="I51" s="73"/>
      <c r="J51" s="73"/>
      <c r="L51" s="2" t="s">
        <v>1209</v>
      </c>
    </row>
    <row r="52" spans="1:12" s="2" customFormat="1" ht="13.5" customHeight="1">
      <c r="A52" s="413" t="s">
        <v>2230</v>
      </c>
      <c r="B52" s="413"/>
      <c r="C52" s="413"/>
      <c r="D52" s="413"/>
      <c r="E52" s="413"/>
      <c r="F52" s="413"/>
      <c r="G52" s="15">
        <v>42</v>
      </c>
      <c r="H52" s="19"/>
      <c r="I52" s="73"/>
      <c r="J52" s="73"/>
      <c r="L52" s="2" t="s">
        <v>1209</v>
      </c>
    </row>
    <row r="53" spans="1:12" s="2" customFormat="1" ht="13.5" customHeight="1">
      <c r="A53" s="413" t="s">
        <v>2563</v>
      </c>
      <c r="B53" s="413"/>
      <c r="C53" s="413"/>
      <c r="D53" s="413"/>
      <c r="E53" s="413"/>
      <c r="F53" s="413"/>
      <c r="G53" s="15">
        <v>43</v>
      </c>
      <c r="H53" s="19"/>
      <c r="I53" s="73"/>
      <c r="J53" s="73"/>
      <c r="L53" s="2" t="s">
        <v>1209</v>
      </c>
    </row>
    <row r="54" spans="1:12" s="2" customFormat="1" ht="13.5" customHeight="1">
      <c r="A54" s="413" t="s">
        <v>2443</v>
      </c>
      <c r="B54" s="413"/>
      <c r="C54" s="413"/>
      <c r="D54" s="413"/>
      <c r="E54" s="413"/>
      <c r="F54" s="413"/>
      <c r="G54" s="15">
        <v>44</v>
      </c>
      <c r="H54" s="19"/>
      <c r="I54" s="73"/>
      <c r="J54" s="73"/>
      <c r="L54" s="2" t="s">
        <v>1209</v>
      </c>
    </row>
    <row r="55" spans="1:12" s="2" customFormat="1" ht="13.5" customHeight="1">
      <c r="A55" s="408" t="s">
        <v>2444</v>
      </c>
      <c r="B55" s="408"/>
      <c r="C55" s="408"/>
      <c r="D55" s="408"/>
      <c r="E55" s="408"/>
      <c r="F55" s="408"/>
      <c r="G55" s="15">
        <v>45</v>
      </c>
      <c r="H55" s="19"/>
      <c r="I55" s="82">
        <f>SUM(I50:I54)</f>
        <v>0</v>
      </c>
      <c r="J55" s="82">
        <f>SUM(J50:J54)</f>
        <v>0</v>
      </c>
      <c r="L55" s="2" t="s">
        <v>1209</v>
      </c>
    </row>
    <row r="56" spans="1:10" s="2" customFormat="1" ht="13.5" customHeight="1">
      <c r="A56" s="410" t="s">
        <v>209</v>
      </c>
      <c r="B56" s="410"/>
      <c r="C56" s="410"/>
      <c r="D56" s="410"/>
      <c r="E56" s="410"/>
      <c r="F56" s="410"/>
      <c r="G56" s="15">
        <v>46</v>
      </c>
      <c r="H56" s="19"/>
      <c r="I56" s="82">
        <f>I49+I55</f>
        <v>0</v>
      </c>
      <c r="J56" s="82">
        <f>J49+J55</f>
        <v>0</v>
      </c>
    </row>
    <row r="57" spans="1:10" s="2" customFormat="1" ht="13.5" customHeight="1">
      <c r="A57" s="385" t="s">
        <v>2809</v>
      </c>
      <c r="B57" s="385"/>
      <c r="C57" s="385"/>
      <c r="D57" s="385"/>
      <c r="E57" s="385"/>
      <c r="F57" s="385"/>
      <c r="G57" s="15">
        <v>47</v>
      </c>
      <c r="H57" s="19"/>
      <c r="I57" s="73"/>
      <c r="J57" s="73"/>
    </row>
    <row r="58" spans="1:10" s="2" customFormat="1" ht="13.5" customHeight="1">
      <c r="A58" s="410" t="s">
        <v>2561</v>
      </c>
      <c r="B58" s="410"/>
      <c r="C58" s="410"/>
      <c r="D58" s="410"/>
      <c r="E58" s="410"/>
      <c r="F58" s="410"/>
      <c r="G58" s="15">
        <v>48</v>
      </c>
      <c r="H58" s="19"/>
      <c r="I58" s="82">
        <f>I28+I43+I56+I57</f>
        <v>0</v>
      </c>
      <c r="J58" s="82">
        <f>J28+J43+J56+J57</f>
        <v>0</v>
      </c>
    </row>
    <row r="59" spans="1:12" s="2" customFormat="1" ht="13.5" customHeight="1">
      <c r="A59" s="410" t="s">
        <v>2810</v>
      </c>
      <c r="B59" s="410"/>
      <c r="C59" s="410"/>
      <c r="D59" s="410"/>
      <c r="E59" s="410"/>
      <c r="F59" s="410"/>
      <c r="G59" s="15">
        <v>49</v>
      </c>
      <c r="H59" s="19"/>
      <c r="I59" s="73"/>
      <c r="J59" s="73"/>
      <c r="L59" s="2" t="s">
        <v>2525</v>
      </c>
    </row>
    <row r="60" spans="1:18" s="2" customFormat="1" ht="13.5" customHeight="1">
      <c r="A60" s="459" t="s">
        <v>2560</v>
      </c>
      <c r="B60" s="459"/>
      <c r="C60" s="459"/>
      <c r="D60" s="459"/>
      <c r="E60" s="459"/>
      <c r="F60" s="459"/>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47" t="s">
        <v>1103</v>
      </c>
      <c r="B2" s="448"/>
      <c r="C2" s="448"/>
      <c r="D2" s="448"/>
      <c r="E2" s="448"/>
      <c r="F2" s="448"/>
      <c r="G2" s="448"/>
      <c r="H2" s="448"/>
      <c r="I2" s="449"/>
      <c r="J2" s="389" t="s">
        <v>1213</v>
      </c>
      <c r="Q2" s="70">
        <f>IF(OR(MIN(I8:I54)&lt;0,MAX(I8:I54)&gt;0),1,0)</f>
        <v>0</v>
      </c>
      <c r="R2" s="69" t="s">
        <v>1204</v>
      </c>
    </row>
    <row r="3" spans="1:18" s="2" customFormat="1" ht="19.5" customHeight="1" thickBot="1">
      <c r="A3" s="450" t="str">
        <f>"u razdoblju "&amp;IF(RefStr!C4&lt;&gt;"",TEXT(RefStr!C4,"DD.MM.YYYY."),"__.__.____.")&amp;" do "&amp;IF(RefStr!F4&lt;&gt;"",TEXT(RefStr!F4,"DD.MM.YYYY."),"__.__.____.")</f>
        <v>u razdoblju 01.01.2021. do 31.12.2021.</v>
      </c>
      <c r="B3" s="451"/>
      <c r="C3" s="451"/>
      <c r="D3" s="451"/>
      <c r="E3" s="451"/>
      <c r="F3" s="451"/>
      <c r="G3" s="451"/>
      <c r="H3" s="451"/>
      <c r="I3" s="452"/>
      <c r="J3" s="437"/>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36457028007; Vrelo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c r="J9" s="90"/>
      <c r="L9" s="2" t="s">
        <v>2525</v>
      </c>
    </row>
    <row r="10" spans="1:12" s="2" customFormat="1" ht="13.5" customHeight="1">
      <c r="A10" s="385" t="s">
        <v>1708</v>
      </c>
      <c r="B10" s="385"/>
      <c r="C10" s="385"/>
      <c r="D10" s="385"/>
      <c r="E10" s="385"/>
      <c r="F10" s="385"/>
      <c r="G10" s="15">
        <v>2</v>
      </c>
      <c r="H10" s="19"/>
      <c r="I10" s="73"/>
      <c r="J10" s="73"/>
      <c r="L10" s="2" t="s">
        <v>2525</v>
      </c>
    </row>
    <row r="11" spans="1:12" s="2" customFormat="1" ht="13.5" customHeight="1">
      <c r="A11" s="385" t="s">
        <v>1709</v>
      </c>
      <c r="B11" s="385"/>
      <c r="C11" s="385"/>
      <c r="D11" s="385"/>
      <c r="E11" s="385"/>
      <c r="F11" s="385"/>
      <c r="G11" s="15">
        <v>3</v>
      </c>
      <c r="H11" s="19"/>
      <c r="I11" s="73"/>
      <c r="J11" s="73"/>
      <c r="L11" s="2" t="s">
        <v>2525</v>
      </c>
    </row>
    <row r="12" spans="1:12" s="2" customFormat="1" ht="13.5" customHeight="1">
      <c r="A12" s="385" t="s">
        <v>1710</v>
      </c>
      <c r="B12" s="385"/>
      <c r="C12" s="385"/>
      <c r="D12" s="385"/>
      <c r="E12" s="385"/>
      <c r="F12" s="385"/>
      <c r="G12" s="15">
        <v>4</v>
      </c>
      <c r="H12" s="19"/>
      <c r="I12" s="73"/>
      <c r="J12" s="73"/>
      <c r="L12" s="2" t="s">
        <v>2525</v>
      </c>
    </row>
    <row r="13" spans="1:12" s="2" customFormat="1" ht="13.5" customHeight="1">
      <c r="A13" s="385" t="s">
        <v>1711</v>
      </c>
      <c r="B13" s="385"/>
      <c r="C13" s="385"/>
      <c r="D13" s="385"/>
      <c r="E13" s="385"/>
      <c r="F13" s="385"/>
      <c r="G13" s="15">
        <v>5</v>
      </c>
      <c r="H13" s="19"/>
      <c r="I13" s="73"/>
      <c r="J13" s="73"/>
      <c r="L13" s="2" t="s">
        <v>2525</v>
      </c>
    </row>
    <row r="14" spans="1:12" s="2" customFormat="1" ht="13.5" customHeight="1">
      <c r="A14" s="408" t="s">
        <v>1712</v>
      </c>
      <c r="B14" s="385"/>
      <c r="C14" s="385"/>
      <c r="D14" s="385"/>
      <c r="E14" s="385"/>
      <c r="F14" s="385"/>
      <c r="G14" s="15">
        <v>6</v>
      </c>
      <c r="H14" s="19"/>
      <c r="I14" s="82">
        <f>SUM(I9:I13)</f>
        <v>0</v>
      </c>
      <c r="J14" s="82">
        <f>SUM(J9:J13)</f>
        <v>0</v>
      </c>
      <c r="L14" s="2" t="s">
        <v>2525</v>
      </c>
    </row>
    <row r="15" spans="1:12" s="2" customFormat="1" ht="13.5" customHeight="1">
      <c r="A15" s="385" t="s">
        <v>1713</v>
      </c>
      <c r="B15" s="385"/>
      <c r="C15" s="385"/>
      <c r="D15" s="385"/>
      <c r="E15" s="385"/>
      <c r="F15" s="385"/>
      <c r="G15" s="15">
        <v>7</v>
      </c>
      <c r="H15" s="19"/>
      <c r="I15" s="73"/>
      <c r="J15" s="73"/>
      <c r="L15" s="2" t="s">
        <v>1209</v>
      </c>
    </row>
    <row r="16" spans="1:12" s="2" customFormat="1" ht="13.5" customHeight="1">
      <c r="A16" s="385" t="s">
        <v>1714</v>
      </c>
      <c r="B16" s="385"/>
      <c r="C16" s="385"/>
      <c r="D16" s="385"/>
      <c r="E16" s="385"/>
      <c r="F16" s="385"/>
      <c r="G16" s="15">
        <v>8</v>
      </c>
      <c r="H16" s="19"/>
      <c r="I16" s="73"/>
      <c r="J16" s="73"/>
      <c r="L16" s="2" t="s">
        <v>1209</v>
      </c>
    </row>
    <row r="17" spans="1:12" s="2" customFormat="1" ht="13.5" customHeight="1">
      <c r="A17" s="385" t="s">
        <v>1715</v>
      </c>
      <c r="B17" s="385"/>
      <c r="C17" s="385"/>
      <c r="D17" s="385"/>
      <c r="E17" s="385"/>
      <c r="F17" s="385"/>
      <c r="G17" s="15">
        <v>9</v>
      </c>
      <c r="H17" s="19"/>
      <c r="I17" s="73"/>
      <c r="J17" s="73"/>
      <c r="L17" s="2" t="s">
        <v>1209</v>
      </c>
    </row>
    <row r="18" spans="1:12" s="2" customFormat="1" ht="13.5" customHeight="1">
      <c r="A18" s="385" t="s">
        <v>1716</v>
      </c>
      <c r="B18" s="385"/>
      <c r="C18" s="385"/>
      <c r="D18" s="385"/>
      <c r="E18" s="385"/>
      <c r="F18" s="385"/>
      <c r="G18" s="15">
        <v>10</v>
      </c>
      <c r="H18" s="19"/>
      <c r="I18" s="73"/>
      <c r="J18" s="73"/>
      <c r="L18" s="2" t="s">
        <v>1209</v>
      </c>
    </row>
    <row r="19" spans="1:12" s="2" customFormat="1" ht="13.5" customHeight="1">
      <c r="A19" s="385" t="s">
        <v>1717</v>
      </c>
      <c r="B19" s="385"/>
      <c r="C19" s="385"/>
      <c r="D19" s="385"/>
      <c r="E19" s="385"/>
      <c r="F19" s="385"/>
      <c r="G19" s="15">
        <v>11</v>
      </c>
      <c r="H19" s="19"/>
      <c r="I19" s="73"/>
      <c r="J19" s="73"/>
      <c r="L19" s="2" t="s">
        <v>1209</v>
      </c>
    </row>
    <row r="20" spans="1:12" s="2" customFormat="1" ht="13.5" customHeight="1">
      <c r="A20" s="385" t="s">
        <v>1706</v>
      </c>
      <c r="B20" s="385"/>
      <c r="C20" s="385"/>
      <c r="D20" s="385"/>
      <c r="E20" s="385"/>
      <c r="F20" s="385"/>
      <c r="G20" s="15">
        <v>12</v>
      </c>
      <c r="H20" s="19"/>
      <c r="I20" s="73"/>
      <c r="J20" s="73"/>
      <c r="L20" s="2" t="s">
        <v>1209</v>
      </c>
    </row>
    <row r="21" spans="1:12" s="2" customFormat="1" ht="13.5" customHeight="1">
      <c r="A21" s="408" t="s">
        <v>1718</v>
      </c>
      <c r="B21" s="408"/>
      <c r="C21" s="408"/>
      <c r="D21" s="408"/>
      <c r="E21" s="408"/>
      <c r="F21" s="408"/>
      <c r="G21" s="15">
        <v>13</v>
      </c>
      <c r="H21" s="19"/>
      <c r="I21" s="82">
        <f>SUM(I15:I20)</f>
        <v>0</v>
      </c>
      <c r="J21" s="82">
        <f>SUM(J15:J20)</f>
        <v>0</v>
      </c>
      <c r="L21" s="2" t="s">
        <v>1209</v>
      </c>
    </row>
    <row r="22" spans="1:10" s="2" customFormat="1" ht="15" customHeight="1">
      <c r="A22" s="459" t="s">
        <v>920</v>
      </c>
      <c r="B22" s="459"/>
      <c r="C22" s="459"/>
      <c r="D22" s="459"/>
      <c r="E22" s="459"/>
      <c r="F22" s="459"/>
      <c r="G22" s="17">
        <v>14</v>
      </c>
      <c r="H22" s="20"/>
      <c r="I22" s="83">
        <f>I14+I21</f>
        <v>0</v>
      </c>
      <c r="J22" s="83">
        <f>J14+J21</f>
        <v>0</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c r="J24" s="90"/>
      <c r="L24" s="2" t="s">
        <v>2525</v>
      </c>
    </row>
    <row r="25" spans="1:12" s="2" customFormat="1" ht="13.5" customHeight="1">
      <c r="A25" s="413" t="s">
        <v>900</v>
      </c>
      <c r="B25" s="413"/>
      <c r="C25" s="413"/>
      <c r="D25" s="413"/>
      <c r="E25" s="413"/>
      <c r="F25" s="413"/>
      <c r="G25" s="15">
        <v>16</v>
      </c>
      <c r="H25" s="19"/>
      <c r="I25" s="73"/>
      <c r="J25" s="73"/>
      <c r="L25" s="2" t="s">
        <v>2525</v>
      </c>
    </row>
    <row r="26" spans="1:12" s="2" customFormat="1" ht="13.5" customHeight="1">
      <c r="A26" s="413" t="s">
        <v>901</v>
      </c>
      <c r="B26" s="413"/>
      <c r="C26" s="413"/>
      <c r="D26" s="413"/>
      <c r="E26" s="413"/>
      <c r="F26" s="413"/>
      <c r="G26" s="15">
        <v>17</v>
      </c>
      <c r="H26" s="19"/>
      <c r="I26" s="73"/>
      <c r="J26" s="73"/>
      <c r="L26" s="2" t="s">
        <v>2525</v>
      </c>
    </row>
    <row r="27" spans="1:12" s="2" customFormat="1" ht="13.5" customHeight="1">
      <c r="A27" s="413" t="s">
        <v>1786</v>
      </c>
      <c r="B27" s="413"/>
      <c r="C27" s="413"/>
      <c r="D27" s="413"/>
      <c r="E27" s="413"/>
      <c r="F27" s="413"/>
      <c r="G27" s="15">
        <v>18</v>
      </c>
      <c r="H27" s="19"/>
      <c r="I27" s="73"/>
      <c r="J27" s="73"/>
      <c r="L27" s="2" t="s">
        <v>2525</v>
      </c>
    </row>
    <row r="28" spans="1:12" s="2" customFormat="1" ht="13.5" customHeight="1">
      <c r="A28" s="413" t="s">
        <v>2087</v>
      </c>
      <c r="B28" s="413"/>
      <c r="C28" s="413"/>
      <c r="D28" s="413"/>
      <c r="E28" s="413"/>
      <c r="F28" s="413"/>
      <c r="G28" s="15">
        <v>19</v>
      </c>
      <c r="H28" s="19"/>
      <c r="I28" s="73"/>
      <c r="J28" s="73"/>
      <c r="L28" s="2" t="s">
        <v>2525</v>
      </c>
    </row>
    <row r="29" spans="1:12" s="2" customFormat="1" ht="13.5" customHeight="1">
      <c r="A29" s="413" t="s">
        <v>1785</v>
      </c>
      <c r="B29" s="413"/>
      <c r="C29" s="413"/>
      <c r="D29" s="413"/>
      <c r="E29" s="413"/>
      <c r="F29" s="413"/>
      <c r="G29" s="15">
        <v>20</v>
      </c>
      <c r="H29" s="19"/>
      <c r="I29" s="73"/>
      <c r="J29" s="73"/>
      <c r="L29" s="2" t="s">
        <v>2525</v>
      </c>
    </row>
    <row r="30" spans="1:12" s="2" customFormat="1" ht="15" customHeight="1">
      <c r="A30" s="408" t="s">
        <v>1719</v>
      </c>
      <c r="B30" s="408"/>
      <c r="C30" s="408"/>
      <c r="D30" s="408"/>
      <c r="E30" s="408"/>
      <c r="F30" s="408"/>
      <c r="G30" s="15">
        <v>21</v>
      </c>
      <c r="H30" s="19"/>
      <c r="I30" s="82">
        <f>SUM(I24:I29)</f>
        <v>0</v>
      </c>
      <c r="J30" s="82">
        <f>SUM(J24:J29)</f>
        <v>0</v>
      </c>
      <c r="L30" s="2" t="s">
        <v>2525</v>
      </c>
    </row>
    <row r="31" spans="1:12" s="2" customFormat="1" ht="15" customHeight="1">
      <c r="A31" s="413" t="s">
        <v>2088</v>
      </c>
      <c r="B31" s="413"/>
      <c r="C31" s="413"/>
      <c r="D31" s="413"/>
      <c r="E31" s="413"/>
      <c r="F31" s="413"/>
      <c r="G31" s="15">
        <v>22</v>
      </c>
      <c r="H31" s="19"/>
      <c r="I31" s="73"/>
      <c r="J31" s="73"/>
      <c r="L31" s="2" t="s">
        <v>1209</v>
      </c>
    </row>
    <row r="32" spans="1:12" s="2" customFormat="1" ht="13.5" customHeight="1">
      <c r="A32" s="413" t="s">
        <v>2089</v>
      </c>
      <c r="B32" s="413"/>
      <c r="C32" s="413"/>
      <c r="D32" s="413"/>
      <c r="E32" s="413"/>
      <c r="F32" s="413"/>
      <c r="G32" s="15">
        <v>23</v>
      </c>
      <c r="H32" s="19"/>
      <c r="I32" s="73"/>
      <c r="J32" s="73"/>
      <c r="L32" s="2" t="s">
        <v>1209</v>
      </c>
    </row>
    <row r="33" spans="1:12" s="2" customFormat="1" ht="13.5" customHeight="1">
      <c r="A33" s="413" t="s">
        <v>2090</v>
      </c>
      <c r="B33" s="413"/>
      <c r="C33" s="413"/>
      <c r="D33" s="413"/>
      <c r="E33" s="413"/>
      <c r="F33" s="413"/>
      <c r="G33" s="15">
        <v>24</v>
      </c>
      <c r="H33" s="19"/>
      <c r="I33" s="73"/>
      <c r="J33" s="73"/>
      <c r="L33" s="2" t="s">
        <v>1209</v>
      </c>
    </row>
    <row r="34" spans="1:10" s="2" customFormat="1" ht="13.5" customHeight="1">
      <c r="A34" s="413" t="s">
        <v>2091</v>
      </c>
      <c r="B34" s="413"/>
      <c r="C34" s="413"/>
      <c r="D34" s="413"/>
      <c r="E34" s="413"/>
      <c r="F34" s="413"/>
      <c r="G34" s="15">
        <v>25</v>
      </c>
      <c r="H34" s="19"/>
      <c r="I34" s="73"/>
      <c r="J34" s="73"/>
    </row>
    <row r="35" spans="1:12" s="2" customFormat="1" ht="13.5" customHeight="1">
      <c r="A35" s="413" t="s">
        <v>2092</v>
      </c>
      <c r="B35" s="413"/>
      <c r="C35" s="413"/>
      <c r="D35" s="413"/>
      <c r="E35" s="413"/>
      <c r="F35" s="413"/>
      <c r="G35" s="15">
        <v>26</v>
      </c>
      <c r="H35" s="19"/>
      <c r="I35" s="73"/>
      <c r="J35" s="73"/>
      <c r="L35" s="2" t="s">
        <v>1209</v>
      </c>
    </row>
    <row r="36" spans="1:12" s="2" customFormat="1" ht="15" customHeight="1">
      <c r="A36" s="408" t="s">
        <v>1720</v>
      </c>
      <c r="B36" s="408"/>
      <c r="C36" s="408"/>
      <c r="D36" s="408"/>
      <c r="E36" s="408"/>
      <c r="F36" s="408"/>
      <c r="G36" s="15">
        <v>27</v>
      </c>
      <c r="H36" s="19"/>
      <c r="I36" s="82">
        <f>SUM(I31:I35)</f>
        <v>0</v>
      </c>
      <c r="J36" s="82">
        <f>SUM(J31:J35)</f>
        <v>0</v>
      </c>
      <c r="L36" s="2" t="s">
        <v>1209</v>
      </c>
    </row>
    <row r="37" spans="1:10" s="2" customFormat="1" ht="15" customHeight="1">
      <c r="A37" s="459" t="s">
        <v>1721</v>
      </c>
      <c r="B37" s="459"/>
      <c r="C37" s="459"/>
      <c r="D37" s="459"/>
      <c r="E37" s="459"/>
      <c r="F37" s="459"/>
      <c r="G37" s="17">
        <v>28</v>
      </c>
      <c r="H37" s="20"/>
      <c r="I37" s="83">
        <f>I30+I36</f>
        <v>0</v>
      </c>
      <c r="J37" s="83">
        <f>J30+J36</f>
        <v>0</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5" t="s">
        <v>2532</v>
      </c>
      <c r="B40" s="385"/>
      <c r="C40" s="385"/>
      <c r="D40" s="385"/>
      <c r="E40" s="385"/>
      <c r="F40" s="385"/>
      <c r="G40" s="15">
        <v>30</v>
      </c>
      <c r="H40" s="19"/>
      <c r="I40" s="73"/>
      <c r="J40" s="73"/>
      <c r="L40" s="2" t="s">
        <v>2525</v>
      </c>
    </row>
    <row r="41" spans="1:12" s="2" customFormat="1" ht="13.5" customHeight="1">
      <c r="A41" s="385" t="s">
        <v>2533</v>
      </c>
      <c r="B41" s="385"/>
      <c r="C41" s="385"/>
      <c r="D41" s="385"/>
      <c r="E41" s="385"/>
      <c r="F41" s="385"/>
      <c r="G41" s="15">
        <v>31</v>
      </c>
      <c r="H41" s="19"/>
      <c r="I41" s="73"/>
      <c r="J41" s="73"/>
      <c r="L41" s="2" t="s">
        <v>2525</v>
      </c>
    </row>
    <row r="42" spans="1:12" s="2" customFormat="1" ht="13.5" customHeight="1">
      <c r="A42" s="385" t="s">
        <v>2534</v>
      </c>
      <c r="B42" s="385"/>
      <c r="C42" s="385"/>
      <c r="D42" s="385"/>
      <c r="E42" s="385"/>
      <c r="F42" s="385"/>
      <c r="G42" s="15">
        <v>32</v>
      </c>
      <c r="H42" s="19"/>
      <c r="I42" s="73"/>
      <c r="J42" s="73"/>
      <c r="L42" s="2" t="s">
        <v>2525</v>
      </c>
    </row>
    <row r="43" spans="1:12" s="2" customFormat="1" ht="15" customHeight="1">
      <c r="A43" s="408" t="s">
        <v>1722</v>
      </c>
      <c r="B43" s="408"/>
      <c r="C43" s="408"/>
      <c r="D43" s="408"/>
      <c r="E43" s="408"/>
      <c r="F43" s="408"/>
      <c r="G43" s="15">
        <v>33</v>
      </c>
      <c r="H43" s="19"/>
      <c r="I43" s="82">
        <f>SUM(I39:I42)</f>
        <v>0</v>
      </c>
      <c r="J43" s="82">
        <f>SUM(J39:J42)</f>
        <v>0</v>
      </c>
      <c r="L43" s="2" t="s">
        <v>2525</v>
      </c>
    </row>
    <row r="44" spans="1:12" s="2" customFormat="1" ht="25.5" customHeight="1">
      <c r="A44" s="385" t="s">
        <v>2535</v>
      </c>
      <c r="B44" s="385"/>
      <c r="C44" s="385"/>
      <c r="D44" s="385"/>
      <c r="E44" s="385"/>
      <c r="F44" s="385"/>
      <c r="G44" s="15">
        <v>34</v>
      </c>
      <c r="H44" s="19"/>
      <c r="I44" s="73"/>
      <c r="J44" s="73"/>
      <c r="L44" s="2" t="s">
        <v>1209</v>
      </c>
    </row>
    <row r="45" spans="1:12" s="2" customFormat="1" ht="13.5" customHeight="1">
      <c r="A45" s="385" t="s">
        <v>2536</v>
      </c>
      <c r="B45" s="385"/>
      <c r="C45" s="385"/>
      <c r="D45" s="385"/>
      <c r="E45" s="385"/>
      <c r="F45" s="385"/>
      <c r="G45" s="15">
        <v>35</v>
      </c>
      <c r="H45" s="19"/>
      <c r="I45" s="73"/>
      <c r="J45" s="73"/>
      <c r="L45" s="2" t="s">
        <v>1209</v>
      </c>
    </row>
    <row r="46" spans="1:12" s="2" customFormat="1" ht="13.5" customHeight="1">
      <c r="A46" s="385" t="s">
        <v>2537</v>
      </c>
      <c r="B46" s="385"/>
      <c r="C46" s="385"/>
      <c r="D46" s="385"/>
      <c r="E46" s="385"/>
      <c r="F46" s="385"/>
      <c r="G46" s="15">
        <v>36</v>
      </c>
      <c r="H46" s="19"/>
      <c r="I46" s="73"/>
      <c r="J46" s="73"/>
      <c r="L46" s="2" t="s">
        <v>1209</v>
      </c>
    </row>
    <row r="47" spans="1:12" s="2" customFormat="1" ht="25.5" customHeight="1">
      <c r="A47" s="385" t="s">
        <v>1995</v>
      </c>
      <c r="B47" s="385"/>
      <c r="C47" s="385"/>
      <c r="D47" s="385"/>
      <c r="E47" s="385"/>
      <c r="F47" s="385"/>
      <c r="G47" s="15">
        <v>37</v>
      </c>
      <c r="H47" s="19"/>
      <c r="I47" s="73"/>
      <c r="J47" s="73"/>
      <c r="L47" s="2" t="s">
        <v>1209</v>
      </c>
    </row>
    <row r="48" spans="1:12" s="2" customFormat="1" ht="13.5" customHeight="1">
      <c r="A48" s="385" t="s">
        <v>15</v>
      </c>
      <c r="B48" s="385"/>
      <c r="C48" s="385"/>
      <c r="D48" s="385"/>
      <c r="E48" s="385"/>
      <c r="F48" s="385"/>
      <c r="G48" s="15">
        <v>38</v>
      </c>
      <c r="H48" s="19"/>
      <c r="I48" s="73"/>
      <c r="J48" s="73"/>
      <c r="L48" s="2" t="s">
        <v>1209</v>
      </c>
    </row>
    <row r="49" spans="1:12" s="2" customFormat="1" ht="15" customHeight="1">
      <c r="A49" s="408" t="s">
        <v>1723</v>
      </c>
      <c r="B49" s="408"/>
      <c r="C49" s="408"/>
      <c r="D49" s="408"/>
      <c r="E49" s="408"/>
      <c r="F49" s="408"/>
      <c r="G49" s="15">
        <v>39</v>
      </c>
      <c r="H49" s="19"/>
      <c r="I49" s="82">
        <f>SUM(I44:I48)</f>
        <v>0</v>
      </c>
      <c r="J49" s="82">
        <f>SUM(J44:J48)</f>
        <v>0</v>
      </c>
      <c r="L49" s="2" t="s">
        <v>1209</v>
      </c>
    </row>
    <row r="50" spans="1:10" s="2" customFormat="1" ht="15" customHeight="1">
      <c r="A50" s="410" t="s">
        <v>1724</v>
      </c>
      <c r="B50" s="410"/>
      <c r="C50" s="410"/>
      <c r="D50" s="410"/>
      <c r="E50" s="410"/>
      <c r="F50" s="410"/>
      <c r="G50" s="15">
        <v>40</v>
      </c>
      <c r="H50" s="19"/>
      <c r="I50" s="82">
        <f>I43+I49</f>
        <v>0</v>
      </c>
      <c r="J50" s="82">
        <f>J43+J49</f>
        <v>0</v>
      </c>
    </row>
    <row r="51" spans="1:10" s="2" customFormat="1" ht="13.5" customHeight="1">
      <c r="A51" s="413" t="s">
        <v>902</v>
      </c>
      <c r="B51" s="413"/>
      <c r="C51" s="413"/>
      <c r="D51" s="413"/>
      <c r="E51" s="413"/>
      <c r="F51" s="413"/>
      <c r="G51" s="15">
        <v>41</v>
      </c>
      <c r="H51" s="19"/>
      <c r="I51" s="73"/>
      <c r="J51" s="73"/>
    </row>
    <row r="52" spans="1:10" s="2" customFormat="1" ht="25.5" customHeight="1">
      <c r="A52" s="410" t="s">
        <v>1725</v>
      </c>
      <c r="B52" s="410"/>
      <c r="C52" s="410"/>
      <c r="D52" s="410"/>
      <c r="E52" s="410"/>
      <c r="F52" s="410"/>
      <c r="G52" s="15">
        <v>42</v>
      </c>
      <c r="H52" s="19"/>
      <c r="I52" s="82">
        <f>I22+I37+I50+I51</f>
        <v>0</v>
      </c>
      <c r="J52" s="82">
        <f>J22+J37+J50+J51</f>
        <v>0</v>
      </c>
    </row>
    <row r="53" spans="1:12" s="2" customFormat="1" ht="13.5" customHeight="1">
      <c r="A53" s="410" t="s">
        <v>2810</v>
      </c>
      <c r="B53" s="410"/>
      <c r="C53" s="410"/>
      <c r="D53" s="410"/>
      <c r="E53" s="410"/>
      <c r="F53" s="410"/>
      <c r="G53" s="15">
        <v>43</v>
      </c>
      <c r="H53" s="19"/>
      <c r="I53" s="73"/>
      <c r="J53" s="73"/>
      <c r="L53" s="2" t="s">
        <v>2525</v>
      </c>
    </row>
    <row r="54" spans="1:12" s="2" customFormat="1" ht="13.5" customHeight="1">
      <c r="A54" s="459" t="s">
        <v>1726</v>
      </c>
      <c r="B54" s="459"/>
      <c r="C54" s="459"/>
      <c r="D54" s="459"/>
      <c r="E54" s="459"/>
      <c r="F54" s="459"/>
      <c r="G54" s="17">
        <v>44</v>
      </c>
      <c r="H54" s="20"/>
      <c r="I54" s="83">
        <f>I52+I53</f>
        <v>0</v>
      </c>
      <c r="J54" s="83">
        <f>J52+J53</f>
        <v>0</v>
      </c>
      <c r="L54" s="2" t="s">
        <v>2525</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21:F21"/>
    <mergeCell ref="A32:F32"/>
    <mergeCell ref="A35:F35"/>
    <mergeCell ref="A47:F47"/>
    <mergeCell ref="A33:F33"/>
    <mergeCell ref="A41:F41"/>
    <mergeCell ref="A42:F42"/>
    <mergeCell ref="A36:F36"/>
    <mergeCell ref="A34:F34"/>
    <mergeCell ref="A37:F37"/>
    <mergeCell ref="A39:F39"/>
    <mergeCell ref="A38:J38"/>
    <mergeCell ref="A40:F40"/>
    <mergeCell ref="A46:F46"/>
    <mergeCell ref="A44:F44"/>
    <mergeCell ref="A45:F45"/>
    <mergeCell ref="A43:F43"/>
    <mergeCell ref="A54:F54"/>
    <mergeCell ref="A53:F53"/>
    <mergeCell ref="A50:F50"/>
    <mergeCell ref="A48:F48"/>
    <mergeCell ref="A51:F51"/>
    <mergeCell ref="A52:F52"/>
    <mergeCell ref="A49:F49"/>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2" t="s">
        <v>158</v>
      </c>
      <c r="B2" s="472"/>
      <c r="C2" s="472"/>
      <c r="D2" s="472"/>
      <c r="E2" s="472"/>
      <c r="F2" s="472"/>
      <c r="G2" s="473"/>
      <c r="H2" s="473"/>
      <c r="I2" s="131"/>
      <c r="J2" s="131"/>
      <c r="K2" s="131"/>
      <c r="L2" s="131"/>
      <c r="M2" s="131"/>
      <c r="N2" s="131"/>
      <c r="O2" s="132"/>
      <c r="P2" s="389" t="s">
        <v>1214</v>
      </c>
      <c r="Q2" s="461"/>
      <c r="R2" s="461"/>
      <c r="S2" s="461"/>
      <c r="T2" s="461"/>
      <c r="U2" s="461"/>
      <c r="V2" s="461"/>
      <c r="W2" s="461"/>
      <c r="X2" s="461"/>
      <c r="Y2" s="462"/>
      <c r="Z2" s="389" t="s">
        <v>1214</v>
      </c>
      <c r="AC2" s="3">
        <f>IF(OR(MAX(H10:Z33)&lt;&gt;0,MIN(H10:Z33)&lt;&gt;0),1,0)</f>
        <v>0</v>
      </c>
      <c r="AD2" s="3" t="s">
        <v>1216</v>
      </c>
    </row>
    <row r="3" spans="1:30" s="3" customFormat="1" ht="19.5" customHeight="1" thickBot="1">
      <c r="A3" s="484" t="str">
        <f>"za razdoblje od "&amp;IF(RefStr!C4&lt;&gt;"",TEXT(RefStr!C4,"DD.MM.YYYY."),"__.__.____.")&amp;" do "&amp;IF(RefStr!F4&lt;&gt;"",TEXT(RefStr!F4,"DD.MM.YYYY."),"__.__.____.")</f>
        <v>za razdoblje od 01.01.2021. do 31.12.2021.</v>
      </c>
      <c r="B3" s="484"/>
      <c r="C3" s="484"/>
      <c r="D3" s="484"/>
      <c r="E3" s="484"/>
      <c r="F3" s="484"/>
      <c r="G3" s="485"/>
      <c r="H3" s="485"/>
      <c r="I3" s="131"/>
      <c r="J3" s="131"/>
      <c r="K3" s="131"/>
      <c r="L3" s="131"/>
      <c r="M3" s="131"/>
      <c r="N3" s="131"/>
      <c r="O3" s="132"/>
      <c r="P3" s="437"/>
      <c r="Q3" s="461"/>
      <c r="R3" s="461"/>
      <c r="S3" s="461"/>
      <c r="T3" s="461"/>
      <c r="U3" s="461"/>
      <c r="V3" s="461"/>
      <c r="W3" s="461"/>
      <c r="X3" s="461"/>
      <c r="Y3" s="462"/>
      <c r="Z3" s="471"/>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66" t="str">
        <f>"Obveznik: "&amp;IF(RefStr!C27&lt;&gt;"",RefStr!C27,"________")&amp;"; "&amp;IF(RefStr!C29&lt;&gt;"",RefStr!C29,"________________________________________________________"&amp;"; "&amp;IF(RefStr!F31&lt;&gt;"",RefStr!F31,"_______________"))</f>
        <v>Obveznik: 36457028007; Vrelo d.o.o.</v>
      </c>
      <c r="B5" s="467"/>
      <c r="C5" s="467"/>
      <c r="D5" s="467"/>
      <c r="E5" s="467"/>
      <c r="F5" s="467"/>
      <c r="G5" s="467"/>
      <c r="H5" s="467"/>
      <c r="I5" s="467"/>
      <c r="J5" s="467"/>
      <c r="K5" s="467"/>
      <c r="L5" s="467"/>
      <c r="M5" s="467"/>
      <c r="N5" s="467"/>
      <c r="O5" s="468"/>
      <c r="P5" s="468"/>
      <c r="Q5" s="468"/>
      <c r="R5" s="468"/>
      <c r="S5" s="468"/>
      <c r="T5" s="468"/>
      <c r="U5" s="468"/>
      <c r="V5" s="468"/>
      <c r="W5" s="468"/>
      <c r="X5" s="468"/>
      <c r="Y5" s="468"/>
      <c r="Z5" s="469"/>
      <c r="AC5" s="3">
        <f>IF(OR(MAX(Y10:Y33)&lt;&gt;0,MIN(Y10:Y33)&lt;&gt;0),1,0)</f>
        <v>0</v>
      </c>
      <c r="AD5" s="12" t="s">
        <v>2651</v>
      </c>
    </row>
    <row r="6" spans="1:30" s="3" customFormat="1" ht="15" customHeight="1" thickBot="1">
      <c r="A6" s="455" t="s">
        <v>617</v>
      </c>
      <c r="B6" s="478"/>
      <c r="C6" s="478"/>
      <c r="D6" s="478"/>
      <c r="E6" s="478"/>
      <c r="F6" s="478"/>
      <c r="G6" s="456" t="s">
        <v>633</v>
      </c>
      <c r="H6" s="401" t="s">
        <v>2275</v>
      </c>
      <c r="I6" s="456" t="s">
        <v>615</v>
      </c>
      <c r="J6" s="456"/>
      <c r="K6" s="456"/>
      <c r="L6" s="456"/>
      <c r="M6" s="456"/>
      <c r="N6" s="456"/>
      <c r="O6" s="456"/>
      <c r="P6" s="456"/>
      <c r="Q6" s="456"/>
      <c r="R6" s="456"/>
      <c r="S6" s="456"/>
      <c r="T6" s="456"/>
      <c r="U6" s="456"/>
      <c r="V6" s="456"/>
      <c r="W6" s="456"/>
      <c r="X6" s="456"/>
      <c r="Y6" s="456" t="s">
        <v>1217</v>
      </c>
      <c r="Z6" s="474" t="s">
        <v>616</v>
      </c>
      <c r="AC6" s="3">
        <f>IF(OR(MAX(Y39:Y62)&lt;&gt;0,MIN(Y39:Y62)&lt;&gt;0),1,0)</f>
        <v>0</v>
      </c>
      <c r="AD6" s="12" t="s">
        <v>710</v>
      </c>
    </row>
    <row r="7" spans="1:30" s="3" customFormat="1" ht="67.5" customHeight="1" thickBot="1">
      <c r="A7" s="479"/>
      <c r="B7" s="480"/>
      <c r="C7" s="480"/>
      <c r="D7" s="480"/>
      <c r="E7" s="480"/>
      <c r="F7" s="480"/>
      <c r="G7" s="470"/>
      <c r="H7" s="470"/>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0"/>
      <c r="Z7" s="475"/>
      <c r="AC7" s="3">
        <f>IF(RefStr!N19="MSFI",1,0)</f>
        <v>0</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3" t="s">
        <v>618</v>
      </c>
      <c r="B9" s="463"/>
      <c r="C9" s="463"/>
      <c r="D9" s="463"/>
      <c r="E9" s="463"/>
      <c r="F9" s="463"/>
      <c r="G9" s="463"/>
      <c r="H9" s="463"/>
      <c r="I9" s="463"/>
      <c r="J9" s="463"/>
      <c r="K9" s="463"/>
      <c r="L9" s="463"/>
      <c r="M9" s="463"/>
      <c r="N9" s="463"/>
      <c r="O9" s="464"/>
      <c r="P9" s="464"/>
      <c r="Q9" s="464"/>
      <c r="R9" s="464"/>
      <c r="S9" s="464"/>
      <c r="T9" s="464"/>
      <c r="U9" s="464"/>
      <c r="V9" s="464"/>
      <c r="W9" s="464"/>
      <c r="X9" s="464"/>
      <c r="Y9" s="464"/>
      <c r="Z9" s="465"/>
      <c r="AD9" s="134"/>
      <c r="AE9" s="135"/>
      <c r="AF9" s="134"/>
      <c r="AG9" s="135"/>
    </row>
    <row r="10" spans="1:33" s="3" customFormat="1" ht="13.5" customHeight="1">
      <c r="A10" s="477" t="s">
        <v>498</v>
      </c>
      <c r="B10" s="477"/>
      <c r="C10" s="477"/>
      <c r="D10" s="477"/>
      <c r="E10" s="477"/>
      <c r="F10" s="47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76" t="s">
        <v>499</v>
      </c>
      <c r="B11" s="476"/>
      <c r="C11" s="476"/>
      <c r="D11" s="476"/>
      <c r="E11" s="476"/>
      <c r="F11" s="476"/>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76" t="s">
        <v>500</v>
      </c>
      <c r="B12" s="476"/>
      <c r="C12" s="476"/>
      <c r="D12" s="476"/>
      <c r="E12" s="476"/>
      <c r="F12" s="476"/>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77" t="s">
        <v>501</v>
      </c>
      <c r="B13" s="477"/>
      <c r="C13" s="477"/>
      <c r="D13" s="477"/>
      <c r="E13" s="477"/>
      <c r="F13" s="47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76" t="s">
        <v>502</v>
      </c>
      <c r="B14" s="476"/>
      <c r="C14" s="476"/>
      <c r="D14" s="476"/>
      <c r="E14" s="476"/>
      <c r="F14" s="476"/>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76" t="s">
        <v>503</v>
      </c>
      <c r="B15" s="476"/>
      <c r="C15" s="476"/>
      <c r="D15" s="476"/>
      <c r="E15" s="476"/>
      <c r="F15" s="476"/>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76" t="s">
        <v>2544</v>
      </c>
      <c r="B16" s="476"/>
      <c r="C16" s="476"/>
      <c r="D16" s="476"/>
      <c r="E16" s="476"/>
      <c r="F16" s="476"/>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76" t="s">
        <v>2545</v>
      </c>
      <c r="B17" s="476"/>
      <c r="C17" s="476"/>
      <c r="D17" s="476"/>
      <c r="E17" s="476"/>
      <c r="F17" s="476"/>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76" t="s">
        <v>2546</v>
      </c>
      <c r="B18" s="476"/>
      <c r="C18" s="476"/>
      <c r="D18" s="476"/>
      <c r="E18" s="476"/>
      <c r="F18" s="476"/>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76" t="s">
        <v>508</v>
      </c>
      <c r="B19" s="476"/>
      <c r="C19" s="476"/>
      <c r="D19" s="476"/>
      <c r="E19" s="476"/>
      <c r="F19" s="476"/>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76" t="s">
        <v>2547</v>
      </c>
      <c r="B20" s="476"/>
      <c r="C20" s="476"/>
      <c r="D20" s="476"/>
      <c r="E20" s="476"/>
      <c r="F20" s="476"/>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76" t="s">
        <v>1140</v>
      </c>
      <c r="B21" s="476"/>
      <c r="C21" s="476"/>
      <c r="D21" s="476"/>
      <c r="E21" s="476"/>
      <c r="F21" s="476"/>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76" t="s">
        <v>1141</v>
      </c>
      <c r="B22" s="476"/>
      <c r="C22" s="476"/>
      <c r="D22" s="476"/>
      <c r="E22" s="476"/>
      <c r="F22" s="476"/>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76" t="s">
        <v>1142</v>
      </c>
      <c r="B23" s="476"/>
      <c r="C23" s="476"/>
      <c r="D23" s="476"/>
      <c r="E23" s="476"/>
      <c r="F23" s="476"/>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76" t="s">
        <v>2548</v>
      </c>
      <c r="B24" s="476"/>
      <c r="C24" s="476"/>
      <c r="D24" s="476"/>
      <c r="E24" s="476"/>
      <c r="F24" s="476"/>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76" t="s">
        <v>2559</v>
      </c>
      <c r="B25" s="476"/>
      <c r="C25" s="476"/>
      <c r="D25" s="476"/>
      <c r="E25" s="476"/>
      <c r="F25" s="476"/>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76" t="s">
        <v>2549</v>
      </c>
      <c r="B26" s="476"/>
      <c r="C26" s="476"/>
      <c r="D26" s="476"/>
      <c r="E26" s="476"/>
      <c r="F26" s="476"/>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76" t="s">
        <v>1143</v>
      </c>
      <c r="B27" s="476"/>
      <c r="C27" s="476"/>
      <c r="D27" s="476"/>
      <c r="E27" s="476"/>
      <c r="F27" s="476"/>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76" t="s">
        <v>1731</v>
      </c>
      <c r="B28" s="476"/>
      <c r="C28" s="476"/>
      <c r="D28" s="476"/>
      <c r="E28" s="476"/>
      <c r="F28" s="476"/>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76" t="s">
        <v>1732</v>
      </c>
      <c r="B29" s="476"/>
      <c r="C29" s="476"/>
      <c r="D29" s="476"/>
      <c r="E29" s="476"/>
      <c r="F29" s="476"/>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76" t="s">
        <v>486</v>
      </c>
      <c r="B30" s="476"/>
      <c r="C30" s="476"/>
      <c r="D30" s="476"/>
      <c r="E30" s="476"/>
      <c r="F30" s="476"/>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76" t="s">
        <v>487</v>
      </c>
      <c r="B31" s="476"/>
      <c r="C31" s="476"/>
      <c r="D31" s="476"/>
      <c r="E31" s="476"/>
      <c r="F31" s="476"/>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76" t="s">
        <v>485</v>
      </c>
      <c r="B32" s="476"/>
      <c r="C32" s="476"/>
      <c r="D32" s="476"/>
      <c r="E32" s="476"/>
      <c r="F32" s="476"/>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8" t="s">
        <v>488</v>
      </c>
      <c r="B33" s="488"/>
      <c r="C33" s="488"/>
      <c r="D33" s="488"/>
      <c r="E33" s="488"/>
      <c r="F33" s="488"/>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9" t="s">
        <v>490</v>
      </c>
      <c r="B36" s="489"/>
      <c r="C36" s="489"/>
      <c r="D36" s="489"/>
      <c r="E36" s="489"/>
      <c r="F36" s="489"/>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90" t="s">
        <v>2550</v>
      </c>
      <c r="B37" s="490"/>
      <c r="C37" s="490"/>
      <c r="D37" s="490"/>
      <c r="E37" s="490"/>
      <c r="F37" s="490"/>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77" t="s">
        <v>2551</v>
      </c>
      <c r="B39" s="477"/>
      <c r="C39" s="477"/>
      <c r="D39" s="477"/>
      <c r="E39" s="477"/>
      <c r="F39" s="47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76" t="s">
        <v>499</v>
      </c>
      <c r="B40" s="476"/>
      <c r="C40" s="476"/>
      <c r="D40" s="476"/>
      <c r="E40" s="476"/>
      <c r="F40" s="476"/>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76" t="s">
        <v>500</v>
      </c>
      <c r="B41" s="476"/>
      <c r="C41" s="476"/>
      <c r="D41" s="476"/>
      <c r="E41" s="476"/>
      <c r="F41" s="476"/>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77" t="s">
        <v>2552</v>
      </c>
      <c r="B42" s="477"/>
      <c r="C42" s="477"/>
      <c r="D42" s="477"/>
      <c r="E42" s="477"/>
      <c r="F42" s="47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76" t="s">
        <v>502</v>
      </c>
      <c r="B43" s="476"/>
      <c r="C43" s="476"/>
      <c r="D43" s="476"/>
      <c r="E43" s="476"/>
      <c r="F43" s="476"/>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76" t="s">
        <v>503</v>
      </c>
      <c r="B44" s="476"/>
      <c r="C44" s="476"/>
      <c r="D44" s="476"/>
      <c r="E44" s="476"/>
      <c r="F44" s="476"/>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76" t="s">
        <v>2553</v>
      </c>
      <c r="B45" s="476"/>
      <c r="C45" s="476"/>
      <c r="D45" s="476"/>
      <c r="E45" s="476"/>
      <c r="F45" s="476"/>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76" t="s">
        <v>2545</v>
      </c>
      <c r="B46" s="476"/>
      <c r="C46" s="476"/>
      <c r="D46" s="476"/>
      <c r="E46" s="476"/>
      <c r="F46" s="476"/>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76" t="s">
        <v>2546</v>
      </c>
      <c r="B47" s="476"/>
      <c r="C47" s="476"/>
      <c r="D47" s="476"/>
      <c r="E47" s="476"/>
      <c r="F47" s="476"/>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76" t="s">
        <v>508</v>
      </c>
      <c r="B48" s="476"/>
      <c r="C48" s="476"/>
      <c r="D48" s="476"/>
      <c r="E48" s="476"/>
      <c r="F48" s="476"/>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76" t="s">
        <v>2554</v>
      </c>
      <c r="B49" s="476"/>
      <c r="C49" s="476"/>
      <c r="D49" s="476"/>
      <c r="E49" s="476"/>
      <c r="F49" s="476"/>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76" t="s">
        <v>1140</v>
      </c>
      <c r="B50" s="476"/>
      <c r="C50" s="476"/>
      <c r="D50" s="476"/>
      <c r="E50" s="476"/>
      <c r="F50" s="476"/>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76" t="s">
        <v>1141</v>
      </c>
      <c r="B51" s="476"/>
      <c r="C51" s="476"/>
      <c r="D51" s="476"/>
      <c r="E51" s="476"/>
      <c r="F51" s="476"/>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76" t="s">
        <v>1142</v>
      </c>
      <c r="B52" s="476"/>
      <c r="C52" s="476"/>
      <c r="D52" s="476"/>
      <c r="E52" s="476"/>
      <c r="F52" s="476"/>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76" t="s">
        <v>2548</v>
      </c>
      <c r="B53" s="476"/>
      <c r="C53" s="476"/>
      <c r="D53" s="476"/>
      <c r="E53" s="476"/>
      <c r="F53" s="476"/>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76" t="s">
        <v>2555</v>
      </c>
      <c r="B54" s="476"/>
      <c r="C54" s="476"/>
      <c r="D54" s="476"/>
      <c r="E54" s="476"/>
      <c r="F54" s="476"/>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76" t="s">
        <v>2556</v>
      </c>
      <c r="B55" s="476"/>
      <c r="C55" s="476"/>
      <c r="D55" s="476"/>
      <c r="E55" s="476"/>
      <c r="F55" s="476"/>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76" t="s">
        <v>1143</v>
      </c>
      <c r="B56" s="476"/>
      <c r="C56" s="476"/>
      <c r="D56" s="476"/>
      <c r="E56" s="476"/>
      <c r="F56" s="476"/>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76" t="s">
        <v>1731</v>
      </c>
      <c r="B57" s="476"/>
      <c r="C57" s="476"/>
      <c r="D57" s="476"/>
      <c r="E57" s="476"/>
      <c r="F57" s="476"/>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76" t="s">
        <v>491</v>
      </c>
      <c r="B58" s="476"/>
      <c r="C58" s="476"/>
      <c r="D58" s="476"/>
      <c r="E58" s="476"/>
      <c r="F58" s="476"/>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76" t="s">
        <v>492</v>
      </c>
      <c r="B59" s="476"/>
      <c r="C59" s="476"/>
      <c r="D59" s="476"/>
      <c r="E59" s="476"/>
      <c r="F59" s="476"/>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76" t="s">
        <v>493</v>
      </c>
      <c r="B60" s="476"/>
      <c r="C60" s="476"/>
      <c r="D60" s="476"/>
      <c r="E60" s="476"/>
      <c r="F60" s="476"/>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76" t="s">
        <v>485</v>
      </c>
      <c r="B61" s="476"/>
      <c r="C61" s="476"/>
      <c r="D61" s="476"/>
      <c r="E61" s="476"/>
      <c r="F61" s="476"/>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8" t="s">
        <v>494</v>
      </c>
      <c r="B62" s="488"/>
      <c r="C62" s="488"/>
      <c r="D62" s="488"/>
      <c r="E62" s="488"/>
      <c r="F62" s="488"/>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9" t="s">
        <v>496</v>
      </c>
      <c r="B65" s="489"/>
      <c r="C65" s="489"/>
      <c r="D65" s="489"/>
      <c r="E65" s="489"/>
      <c r="F65" s="489"/>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90" t="s">
        <v>497</v>
      </c>
      <c r="B66" s="490"/>
      <c r="C66" s="490"/>
      <c r="D66" s="490"/>
      <c r="E66" s="490"/>
      <c r="F66" s="490"/>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Marina</cp:lastModifiedBy>
  <cp:lastPrinted>2022-04-28T12:15:43Z</cp:lastPrinted>
  <dcterms:created xsi:type="dcterms:W3CDTF">2008-10-17T11:51:54Z</dcterms:created>
  <dcterms:modified xsi:type="dcterms:W3CDTF">2022-06-23T11:29:05Z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